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mc:AlternateContent xmlns:mc="http://schemas.openxmlformats.org/markup-compatibility/2006">
    <mc:Choice Requires="x15">
      <x15ac:absPath xmlns:x15ac="http://schemas.microsoft.com/office/spreadsheetml/2010/11/ac" url="F:\Programs\Housing Tax Credits\2023\AHFA\"/>
    </mc:Choice>
  </mc:AlternateContent>
  <xr:revisionPtr revIDLastSave="0" documentId="13_ncr:1_{3A46376A-C5F4-4EF1-B1F9-D1304964BCD4}" xr6:coauthVersionLast="47" xr6:coauthVersionMax="47" xr10:uidLastSave="{00000000-0000-0000-0000-000000000000}"/>
  <workbookProtection workbookAlgorithmName="SHA-512" workbookHashValue="F0Z29Clr4qoZjlKqVUNxZs4UUQjdwKdDV3gVEm9rDECTO2dIJA1P3js2an6YF6aN9NPknw9ktv7bF0s00gh5YQ==" workbookSaltValue="5M1NMnfC7vdpfFeiTMdONA==" workbookSpinCount="100000" lockStructure="1"/>
  <bookViews>
    <workbookView xWindow="22932" yWindow="-108" windowWidth="23256" windowHeight="12576" tabRatio="881" xr2:uid="{00000000-000D-0000-FFFF-FFFF00000000}"/>
  </bookViews>
  <sheets>
    <sheet name="Instructions" sheetId="1" r:id="rId1"/>
    <sheet name="Submission Requirements" sheetId="64" r:id="rId2"/>
    <sheet name="Transmittal" sheetId="20" r:id="rId3"/>
    <sheet name="Project Details" sheetId="16" r:id="rId4"/>
    <sheet name="Budget &amp; Costs" sheetId="3" r:id="rId5"/>
    <sheet name="LIHTCs" sheetId="5" r:id="rId6"/>
    <sheet name="Cashflow" sheetId="8" r:id="rId7"/>
    <sheet name="Development Team" sheetId="2" r:id="rId8"/>
    <sheet name="Experience&amp;Capacity" sheetId="10" r:id="rId9"/>
    <sheet name="Developer Fee" sheetId="37" r:id="rId10"/>
    <sheet name="Narratives" sheetId="21" r:id="rId11"/>
    <sheet name="Proposal Summary" sheetId="9" r:id="rId12"/>
    <sheet name="HDL+Wage Rates+MLP" sheetId="7" r:id="rId13"/>
    <sheet name="Multifamily Bonds" sheetId="11" r:id="rId14"/>
    <sheet name="Management Capacity " sheetId="56" r:id="rId15"/>
    <sheet name="Program Certification" sheetId="12" r:id="rId16"/>
    <sheet name="Data" sheetId="15" state="hidden" r:id="rId17"/>
    <sheet name="OHFADataExtract" sheetId="51" state="hidden" r:id="rId18"/>
    <sheet name="MLP Amortization" sheetId="73" state="hidden" r:id="rId19"/>
  </sheets>
  <definedNames>
    <definedName name="_xlnm._FilterDatabase" localSheetId="16" hidden="1">Data!$B$10:$F$3178</definedName>
    <definedName name="_xlnm.Print_Area" localSheetId="0">Instructions!$A$1:$M$46</definedName>
    <definedName name="_xlnm.Print_Area" localSheetId="5">LIHTCs!$A$1:$N$75</definedName>
    <definedName name="_xlnm.Print_Area" localSheetId="14">'Management Capacity '!$A$1:$I$135</definedName>
    <definedName name="_xlnm.Print_Area" localSheetId="13">'Multifamily Bonds'!$A$1:$L$78</definedName>
    <definedName name="_xlnm.Print_Area" localSheetId="15">'Program Certification'!$A$1:$P$44</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0" i="10" l="1"/>
  <c r="A57" i="10"/>
  <c r="A44" i="10"/>
  <c r="I15" i="9"/>
  <c r="G7" i="9" l="1"/>
  <c r="G6" i="9"/>
  <c r="J19" i="9"/>
  <c r="K20" i="9"/>
  <c r="K21" i="9"/>
  <c r="K22" i="9"/>
  <c r="K23" i="9"/>
  <c r="K24" i="9"/>
  <c r="K25" i="9"/>
  <c r="K26" i="9"/>
  <c r="K27" i="9"/>
  <c r="K28" i="9"/>
  <c r="K29" i="9"/>
  <c r="K30" i="9"/>
  <c r="K31" i="9"/>
  <c r="K32" i="9"/>
  <c r="K33" i="9"/>
  <c r="K34" i="9"/>
  <c r="K35" i="9"/>
  <c r="K36" i="9"/>
  <c r="K37" i="9"/>
  <c r="K38" i="9"/>
  <c r="K39" i="9"/>
  <c r="K40" i="9"/>
  <c r="K41" i="9"/>
  <c r="K42" i="9"/>
  <c r="K43" i="9"/>
  <c r="K44" i="9"/>
  <c r="K19" i="9"/>
  <c r="M15" i="9"/>
  <c r="M14" i="9"/>
  <c r="M13" i="9"/>
  <c r="I74" i="16" l="1"/>
  <c r="I75" i="16"/>
  <c r="I76" i="16"/>
  <c r="I77" i="16"/>
  <c r="I78" i="16"/>
  <c r="I79" i="16"/>
  <c r="I80" i="16"/>
  <c r="I81" i="16"/>
  <c r="I82" i="16"/>
  <c r="I83" i="16"/>
  <c r="I84" i="16"/>
  <c r="I85" i="16"/>
  <c r="I86" i="16"/>
  <c r="I87" i="16"/>
  <c r="I88" i="16"/>
  <c r="I89" i="16"/>
  <c r="I90" i="16"/>
  <c r="I91" i="16"/>
  <c r="I92" i="16"/>
  <c r="I93" i="16"/>
  <c r="I94" i="16"/>
  <c r="I95" i="16"/>
  <c r="I96" i="16"/>
  <c r="I97" i="16"/>
  <c r="I98" i="16"/>
  <c r="I99" i="16"/>
  <c r="I100" i="16"/>
  <c r="I101" i="16"/>
  <c r="I102" i="16"/>
  <c r="I103" i="16"/>
  <c r="I104" i="16"/>
  <c r="I105" i="16"/>
  <c r="I106" i="16"/>
  <c r="I107" i="16"/>
  <c r="I108" i="16"/>
  <c r="I109" i="16"/>
  <c r="I110" i="16"/>
  <c r="I111" i="16"/>
  <c r="I112" i="16"/>
  <c r="I113" i="16"/>
  <c r="I114" i="16"/>
  <c r="I115" i="16"/>
  <c r="I116" i="16"/>
  <c r="I117" i="16"/>
  <c r="I118" i="16"/>
  <c r="I119" i="16"/>
  <c r="I120" i="16"/>
  <c r="I121" i="16"/>
  <c r="I122" i="16"/>
  <c r="I123" i="16"/>
  <c r="I124" i="16"/>
  <c r="I125" i="16"/>
  <c r="I126" i="16"/>
  <c r="I127" i="16"/>
  <c r="I128" i="16"/>
  <c r="I129" i="16"/>
  <c r="I130" i="16"/>
  <c r="I131" i="16"/>
  <c r="I132" i="16"/>
  <c r="I133" i="16"/>
  <c r="I134" i="16"/>
  <c r="I135" i="16"/>
  <c r="I136" i="16"/>
  <c r="I137" i="16"/>
  <c r="I138" i="16"/>
  <c r="I139" i="16"/>
  <c r="I140" i="16"/>
  <c r="I141" i="16"/>
  <c r="I142" i="16"/>
  <c r="I143" i="16"/>
  <c r="I144" i="16"/>
  <c r="I145" i="16"/>
  <c r="I146" i="16"/>
  <c r="I147" i="16"/>
  <c r="I148" i="16"/>
  <c r="I149" i="16"/>
  <c r="I150" i="16"/>
  <c r="I151" i="16"/>
  <c r="I152" i="16"/>
  <c r="I153" i="16"/>
  <c r="I154" i="16"/>
  <c r="I155" i="16"/>
  <c r="I156" i="16"/>
  <c r="I157" i="16"/>
  <c r="I158" i="16"/>
  <c r="I159" i="16"/>
  <c r="I160" i="16"/>
  <c r="I161" i="16"/>
  <c r="I162" i="16"/>
  <c r="I163" i="16"/>
  <c r="I164" i="16"/>
  <c r="I165" i="16"/>
  <c r="I166" i="16"/>
  <c r="I167" i="16"/>
  <c r="I168" i="16"/>
  <c r="I169" i="16"/>
  <c r="I170" i="16"/>
  <c r="I171" i="16"/>
  <c r="I172" i="16"/>
  <c r="I73" i="16"/>
  <c r="G14" i="16"/>
  <c r="C12" i="16"/>
  <c r="L10" i="3" s="1"/>
  <c r="G15" i="16"/>
  <c r="C16" i="16"/>
  <c r="C15" i="16"/>
  <c r="C14" i="16"/>
  <c r="H9" i="20" s="1"/>
  <c r="C18" i="51" l="1"/>
  <c r="H16" i="5"/>
  <c r="C14" i="20"/>
  <c r="K160" i="3"/>
  <c r="L34" i="3"/>
  <c r="L33" i="3"/>
  <c r="L32" i="3"/>
  <c r="L31" i="3"/>
  <c r="L30" i="3"/>
  <c r="L29" i="3"/>
  <c r="L28" i="3"/>
  <c r="L27" i="3"/>
  <c r="L26" i="3"/>
  <c r="L25" i="3"/>
  <c r="L24" i="3"/>
  <c r="L23" i="3"/>
  <c r="L22" i="3"/>
  <c r="L21" i="3"/>
  <c r="L20" i="3"/>
  <c r="L19" i="3"/>
  <c r="L18" i="3"/>
  <c r="L17" i="3"/>
  <c r="L16" i="3"/>
  <c r="L15" i="3"/>
  <c r="L14" i="3"/>
  <c r="L13" i="3"/>
  <c r="L12" i="3"/>
  <c r="L11" i="3"/>
  <c r="L9"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N15" i="3"/>
  <c r="N14" i="3"/>
  <c r="N13" i="3"/>
  <c r="N12" i="3"/>
  <c r="N11" i="3"/>
  <c r="N10" i="3"/>
  <c r="N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9" i="3"/>
  <c r="U12" i="15"/>
  <c r="V12" i="15"/>
  <c r="W12" i="15"/>
  <c r="U13" i="15"/>
  <c r="V13" i="15"/>
  <c r="W13" i="15"/>
  <c r="U14" i="15"/>
  <c r="V14" i="15"/>
  <c r="W14" i="15"/>
  <c r="U15" i="15"/>
  <c r="V15" i="15"/>
  <c r="W15" i="15"/>
  <c r="U16" i="15"/>
  <c r="V16" i="15"/>
  <c r="W16" i="15"/>
  <c r="U17" i="15"/>
  <c r="V17" i="15"/>
  <c r="W17" i="15"/>
  <c r="U18" i="15"/>
  <c r="V18" i="15"/>
  <c r="W18" i="15"/>
  <c r="U19" i="15"/>
  <c r="V19" i="15"/>
  <c r="W19" i="15"/>
  <c r="U20" i="15"/>
  <c r="V20" i="15"/>
  <c r="W20" i="15"/>
  <c r="U21" i="15"/>
  <c r="V21" i="15"/>
  <c r="W21" i="15"/>
  <c r="U22" i="15"/>
  <c r="V22" i="15"/>
  <c r="W22" i="15"/>
  <c r="U23" i="15"/>
  <c r="V23" i="15"/>
  <c r="W23" i="15"/>
  <c r="U24" i="15"/>
  <c r="V24" i="15"/>
  <c r="W24" i="15"/>
  <c r="U25" i="15"/>
  <c r="V25" i="15"/>
  <c r="W25" i="15"/>
  <c r="U26" i="15"/>
  <c r="V26" i="15"/>
  <c r="W26" i="15"/>
  <c r="U27" i="15"/>
  <c r="V27" i="15"/>
  <c r="W27" i="15"/>
  <c r="U28" i="15"/>
  <c r="V28" i="15"/>
  <c r="W28" i="15"/>
  <c r="U29" i="15"/>
  <c r="V29" i="15"/>
  <c r="W29" i="15"/>
  <c r="U30" i="15"/>
  <c r="V30" i="15"/>
  <c r="W30" i="15"/>
  <c r="U31" i="15"/>
  <c r="V31" i="15"/>
  <c r="W31" i="15"/>
  <c r="U32" i="15"/>
  <c r="V32" i="15"/>
  <c r="W32" i="15"/>
  <c r="U33" i="15"/>
  <c r="V33" i="15"/>
  <c r="W33" i="15"/>
  <c r="U34" i="15"/>
  <c r="V34" i="15"/>
  <c r="W34" i="15"/>
  <c r="U35" i="15"/>
  <c r="V35" i="15"/>
  <c r="W35" i="15"/>
  <c r="U36" i="15"/>
  <c r="V36" i="15"/>
  <c r="W36" i="15"/>
  <c r="U37" i="15"/>
  <c r="V37" i="15"/>
  <c r="W37" i="15"/>
  <c r="U38" i="15"/>
  <c r="V38" i="15"/>
  <c r="W38" i="15"/>
  <c r="U39" i="15"/>
  <c r="V39" i="15"/>
  <c r="W39" i="15"/>
  <c r="U40" i="15"/>
  <c r="V40" i="15"/>
  <c r="W40" i="15"/>
  <c r="U41" i="15"/>
  <c r="V41" i="15"/>
  <c r="W41" i="15"/>
  <c r="U42" i="15"/>
  <c r="V42" i="15"/>
  <c r="W42" i="15"/>
  <c r="U43" i="15"/>
  <c r="V43" i="15"/>
  <c r="W43" i="15"/>
  <c r="U44" i="15"/>
  <c r="V44" i="15"/>
  <c r="W44" i="15"/>
  <c r="U45" i="15"/>
  <c r="V45" i="15"/>
  <c r="W45" i="15"/>
  <c r="U46" i="15"/>
  <c r="V46" i="15"/>
  <c r="W46" i="15"/>
  <c r="U47" i="15"/>
  <c r="V47" i="15"/>
  <c r="W47" i="15"/>
  <c r="U48" i="15"/>
  <c r="V48" i="15"/>
  <c r="W48" i="15"/>
  <c r="U49" i="15"/>
  <c r="V49" i="15"/>
  <c r="W49" i="15"/>
  <c r="U50" i="15"/>
  <c r="V50" i="15"/>
  <c r="W50" i="15"/>
  <c r="U51" i="15"/>
  <c r="V51" i="15"/>
  <c r="W51" i="15"/>
  <c r="U52" i="15"/>
  <c r="V52" i="15"/>
  <c r="W52" i="15"/>
  <c r="U53" i="15"/>
  <c r="V53" i="15"/>
  <c r="W53" i="15"/>
  <c r="U54" i="15"/>
  <c r="V54" i="15"/>
  <c r="W54" i="15"/>
  <c r="U55" i="15"/>
  <c r="V55" i="15"/>
  <c r="W55" i="15"/>
  <c r="U56" i="15"/>
  <c r="V56" i="15"/>
  <c r="W56" i="15"/>
  <c r="U57" i="15"/>
  <c r="V57" i="15"/>
  <c r="W57" i="15"/>
  <c r="U58" i="15"/>
  <c r="V58" i="15"/>
  <c r="W58" i="15"/>
  <c r="U59" i="15"/>
  <c r="V59" i="15"/>
  <c r="W59" i="15"/>
  <c r="U60" i="15"/>
  <c r="V60" i="15"/>
  <c r="W60" i="15"/>
  <c r="U61" i="15"/>
  <c r="V61" i="15"/>
  <c r="W61" i="15"/>
  <c r="U62" i="15"/>
  <c r="V62" i="15"/>
  <c r="W62" i="15"/>
  <c r="U63" i="15"/>
  <c r="V63" i="15"/>
  <c r="W63" i="15"/>
  <c r="U64" i="15"/>
  <c r="V64" i="15"/>
  <c r="W64" i="15"/>
  <c r="U65" i="15"/>
  <c r="V65" i="15"/>
  <c r="W65" i="15"/>
  <c r="U66" i="15"/>
  <c r="V66" i="15"/>
  <c r="W66" i="15"/>
  <c r="U67" i="15"/>
  <c r="V67" i="15"/>
  <c r="W67" i="15"/>
  <c r="U68" i="15"/>
  <c r="V68" i="15"/>
  <c r="W68" i="15"/>
  <c r="U69" i="15"/>
  <c r="V69" i="15"/>
  <c r="W69" i="15"/>
  <c r="U70" i="15"/>
  <c r="V70" i="15"/>
  <c r="W70" i="15"/>
  <c r="U71" i="15"/>
  <c r="V71" i="15"/>
  <c r="W71" i="15"/>
  <c r="U72" i="15"/>
  <c r="V72" i="15"/>
  <c r="W72" i="15"/>
  <c r="U73" i="15"/>
  <c r="V73" i="15"/>
  <c r="W73" i="15"/>
  <c r="U74" i="15"/>
  <c r="V74" i="15"/>
  <c r="W74" i="15"/>
  <c r="U75" i="15"/>
  <c r="V75" i="15"/>
  <c r="W75" i="15"/>
  <c r="U76" i="15"/>
  <c r="V76" i="15"/>
  <c r="W76" i="15"/>
  <c r="U77" i="15"/>
  <c r="V77" i="15"/>
  <c r="W77" i="15"/>
  <c r="U78" i="15"/>
  <c r="V78" i="15"/>
  <c r="W78" i="15"/>
  <c r="U79" i="15"/>
  <c r="V79" i="15"/>
  <c r="W79" i="15"/>
  <c r="U80" i="15"/>
  <c r="V80" i="15"/>
  <c r="W80" i="15"/>
  <c r="U81" i="15"/>
  <c r="V81" i="15"/>
  <c r="W81" i="15"/>
  <c r="U82" i="15"/>
  <c r="V82" i="15"/>
  <c r="W82" i="15"/>
  <c r="U83" i="15"/>
  <c r="V83" i="15"/>
  <c r="W83" i="15"/>
  <c r="U84" i="15"/>
  <c r="V84" i="15"/>
  <c r="W84" i="15"/>
  <c r="U85" i="15"/>
  <c r="V85" i="15"/>
  <c r="W85" i="15"/>
  <c r="U86" i="15"/>
  <c r="V86" i="15"/>
  <c r="W86" i="15"/>
  <c r="U87" i="15"/>
  <c r="V87" i="15"/>
  <c r="W87" i="15"/>
  <c r="U88" i="15"/>
  <c r="V88" i="15"/>
  <c r="W88" i="15"/>
  <c r="U89" i="15"/>
  <c r="V89" i="15"/>
  <c r="W89" i="15"/>
  <c r="U90" i="15"/>
  <c r="V90" i="15"/>
  <c r="W90" i="15"/>
  <c r="U91" i="15"/>
  <c r="V91" i="15"/>
  <c r="W91" i="15"/>
  <c r="U92" i="15"/>
  <c r="V92" i="15"/>
  <c r="W92" i="15"/>
  <c r="U93" i="15"/>
  <c r="V93" i="15"/>
  <c r="W93" i="15"/>
  <c r="U94" i="15"/>
  <c r="V94" i="15"/>
  <c r="W94" i="15"/>
  <c r="U95" i="15"/>
  <c r="V95" i="15"/>
  <c r="W95" i="15"/>
  <c r="U96" i="15"/>
  <c r="V96" i="15"/>
  <c r="W96" i="15"/>
  <c r="U97" i="15"/>
  <c r="V97" i="15"/>
  <c r="W97" i="15"/>
  <c r="U98" i="15"/>
  <c r="V98" i="15"/>
  <c r="W98" i="15"/>
  <c r="W11" i="15"/>
  <c r="V11" i="15"/>
  <c r="U11" i="15"/>
  <c r="C18" i="20" l="1"/>
  <c r="C3" i="15"/>
  <c r="E36" i="16" l="1"/>
  <c r="L331" i="3"/>
  <c r="M331" i="3"/>
  <c r="N331" i="3"/>
  <c r="O331" i="3"/>
  <c r="P331" i="3"/>
  <c r="C226" i="16"/>
  <c r="E61" i="9" l="1"/>
  <c r="E60" i="9"/>
  <c r="C11" i="56" l="1"/>
  <c r="C10" i="56"/>
  <c r="C9" i="56"/>
  <c r="C7" i="56"/>
  <c r="C6" i="56"/>
  <c r="C5" i="56"/>
  <c r="C8" i="56"/>
  <c r="F20" i="9"/>
  <c r="G20" i="9"/>
  <c r="H20" i="9"/>
  <c r="I20" i="9"/>
  <c r="J20" i="9"/>
  <c r="F21" i="9"/>
  <c r="G21" i="9"/>
  <c r="H21" i="9"/>
  <c r="I21" i="9"/>
  <c r="J21" i="9"/>
  <c r="F22" i="9"/>
  <c r="G22" i="9"/>
  <c r="H22" i="9"/>
  <c r="I22" i="9"/>
  <c r="J22" i="9"/>
  <c r="F23" i="9"/>
  <c r="G23" i="9"/>
  <c r="H23" i="9"/>
  <c r="I23" i="9"/>
  <c r="J23" i="9"/>
  <c r="F24" i="9"/>
  <c r="G24" i="9"/>
  <c r="H24" i="9"/>
  <c r="I24" i="9"/>
  <c r="J24" i="9"/>
  <c r="F25" i="9"/>
  <c r="G25" i="9"/>
  <c r="H25" i="9"/>
  <c r="I25" i="9"/>
  <c r="J25" i="9"/>
  <c r="F26" i="9"/>
  <c r="G26" i="9"/>
  <c r="H26" i="9"/>
  <c r="I26" i="9"/>
  <c r="J26" i="9"/>
  <c r="F27" i="9"/>
  <c r="G27" i="9"/>
  <c r="H27" i="9"/>
  <c r="I27" i="9"/>
  <c r="J27" i="9"/>
  <c r="F28" i="9"/>
  <c r="G28" i="9"/>
  <c r="H28" i="9"/>
  <c r="I28" i="9"/>
  <c r="J28" i="9"/>
  <c r="F29" i="9"/>
  <c r="G29" i="9"/>
  <c r="H29" i="9"/>
  <c r="I29" i="9"/>
  <c r="J29" i="9"/>
  <c r="F30" i="9"/>
  <c r="G30" i="9"/>
  <c r="H30" i="9"/>
  <c r="I30" i="9"/>
  <c r="J30" i="9"/>
  <c r="F31" i="9"/>
  <c r="G31" i="9"/>
  <c r="H31" i="9"/>
  <c r="I31" i="9"/>
  <c r="J31" i="9"/>
  <c r="F32" i="9"/>
  <c r="G32" i="9"/>
  <c r="H32" i="9"/>
  <c r="I32" i="9"/>
  <c r="J32" i="9"/>
  <c r="F33" i="9"/>
  <c r="G33" i="9"/>
  <c r="H33" i="9"/>
  <c r="I33" i="9"/>
  <c r="J33" i="9"/>
  <c r="F34" i="9"/>
  <c r="G34" i="9"/>
  <c r="H34" i="9"/>
  <c r="I34" i="9"/>
  <c r="J34" i="9"/>
  <c r="F35" i="9"/>
  <c r="G35" i="9"/>
  <c r="H35" i="9"/>
  <c r="I35" i="9"/>
  <c r="J35" i="9"/>
  <c r="F36" i="9"/>
  <c r="G36" i="9"/>
  <c r="H36" i="9"/>
  <c r="I36" i="9"/>
  <c r="J36" i="9"/>
  <c r="F37" i="9"/>
  <c r="G37" i="9"/>
  <c r="H37" i="9"/>
  <c r="I37" i="9"/>
  <c r="J37" i="9"/>
  <c r="F38" i="9"/>
  <c r="G38" i="9"/>
  <c r="H38" i="9"/>
  <c r="I38" i="9"/>
  <c r="J38" i="9"/>
  <c r="F39" i="9"/>
  <c r="G39" i="9"/>
  <c r="H39" i="9"/>
  <c r="I39" i="9"/>
  <c r="J39" i="9"/>
  <c r="F40" i="9"/>
  <c r="G40" i="9"/>
  <c r="H40" i="9"/>
  <c r="I40" i="9"/>
  <c r="J40" i="9"/>
  <c r="F41" i="9"/>
  <c r="G41" i="9"/>
  <c r="H41" i="9"/>
  <c r="I41" i="9"/>
  <c r="J41" i="9"/>
  <c r="F42" i="9"/>
  <c r="G42" i="9"/>
  <c r="H42" i="9"/>
  <c r="I42" i="9"/>
  <c r="J42" i="9"/>
  <c r="F43" i="9"/>
  <c r="G43" i="9"/>
  <c r="H43" i="9"/>
  <c r="I43" i="9"/>
  <c r="J43" i="9"/>
  <c r="F44" i="9"/>
  <c r="G44" i="9"/>
  <c r="H44" i="9"/>
  <c r="I44" i="9"/>
  <c r="J44" i="9"/>
  <c r="I19" i="9"/>
  <c r="H19" i="9"/>
  <c r="G19" i="9"/>
  <c r="F19" i="9"/>
  <c r="C20" i="9"/>
  <c r="D20" i="9"/>
  <c r="E20" i="9"/>
  <c r="C21" i="9"/>
  <c r="D21" i="9"/>
  <c r="E21" i="9"/>
  <c r="C22" i="9"/>
  <c r="D22" i="9"/>
  <c r="E22" i="9"/>
  <c r="C23" i="9"/>
  <c r="D23" i="9"/>
  <c r="E23" i="9"/>
  <c r="C24" i="9"/>
  <c r="D24" i="9"/>
  <c r="E24" i="9"/>
  <c r="C25" i="9"/>
  <c r="D25" i="9"/>
  <c r="E25" i="9"/>
  <c r="C26" i="9"/>
  <c r="D26" i="9"/>
  <c r="E26" i="9"/>
  <c r="C27" i="9"/>
  <c r="D27" i="9"/>
  <c r="E27" i="9"/>
  <c r="C28" i="9"/>
  <c r="D28" i="9"/>
  <c r="E28" i="9"/>
  <c r="C29" i="9"/>
  <c r="D29" i="9"/>
  <c r="E29" i="9"/>
  <c r="C30" i="9"/>
  <c r="D30" i="9"/>
  <c r="E30" i="9"/>
  <c r="C31" i="9"/>
  <c r="D31" i="9"/>
  <c r="E31" i="9"/>
  <c r="C32" i="9"/>
  <c r="D32" i="9"/>
  <c r="E32" i="9"/>
  <c r="C33" i="9"/>
  <c r="D33" i="9"/>
  <c r="E33" i="9"/>
  <c r="C34" i="9"/>
  <c r="D34" i="9"/>
  <c r="E34" i="9"/>
  <c r="C35" i="9"/>
  <c r="D35" i="9"/>
  <c r="E35" i="9"/>
  <c r="C36" i="9"/>
  <c r="D36" i="9"/>
  <c r="E36" i="9"/>
  <c r="C37" i="9"/>
  <c r="D37" i="9"/>
  <c r="E37" i="9"/>
  <c r="C38" i="9"/>
  <c r="D38" i="9"/>
  <c r="E38" i="9"/>
  <c r="C39" i="9"/>
  <c r="D39" i="9"/>
  <c r="E39" i="9"/>
  <c r="C40" i="9"/>
  <c r="D40" i="9"/>
  <c r="E40" i="9"/>
  <c r="C41" i="9"/>
  <c r="D41" i="9"/>
  <c r="E41" i="9"/>
  <c r="C42" i="9"/>
  <c r="D42" i="9"/>
  <c r="E42" i="9"/>
  <c r="C43" i="9"/>
  <c r="D43" i="9"/>
  <c r="E43" i="9"/>
  <c r="C44" i="9"/>
  <c r="D44" i="9"/>
  <c r="E44" i="9"/>
  <c r="E19" i="9"/>
  <c r="D19" i="9"/>
  <c r="C19" i="9"/>
  <c r="B20" i="9"/>
  <c r="B21" i="9"/>
  <c r="B22" i="9"/>
  <c r="B23" i="9"/>
  <c r="B24" i="9"/>
  <c r="B25" i="9"/>
  <c r="B26" i="9"/>
  <c r="B27" i="9"/>
  <c r="B28" i="9"/>
  <c r="B29" i="9"/>
  <c r="B30" i="9"/>
  <c r="B31" i="9"/>
  <c r="B32" i="9"/>
  <c r="B33" i="9"/>
  <c r="B34" i="9"/>
  <c r="B35" i="9"/>
  <c r="B36" i="9"/>
  <c r="B37" i="9"/>
  <c r="B38" i="9"/>
  <c r="B39" i="9"/>
  <c r="B40" i="9"/>
  <c r="B41" i="9"/>
  <c r="B42" i="9"/>
  <c r="B43" i="9"/>
  <c r="B44" i="9"/>
  <c r="B19" i="9"/>
  <c r="E53" i="9"/>
  <c r="E54" i="9"/>
  <c r="E55" i="9"/>
  <c r="E56" i="9"/>
  <c r="E52" i="9"/>
  <c r="B53" i="9"/>
  <c r="B54" i="9"/>
  <c r="B55" i="9"/>
  <c r="B56" i="9"/>
  <c r="B52" i="9"/>
  <c r="J54" i="9"/>
  <c r="J55" i="9"/>
  <c r="J56" i="9"/>
  <c r="J57" i="9"/>
  <c r="J53" i="9"/>
  <c r="G54" i="9"/>
  <c r="G55" i="9"/>
  <c r="G56" i="9"/>
  <c r="G57" i="9"/>
  <c r="G53" i="9"/>
  <c r="J405" i="3" l="1"/>
  <c r="J406" i="3" s="1"/>
  <c r="K405" i="3"/>
  <c r="M405" i="3"/>
  <c r="M406" i="3" s="1"/>
  <c r="L405" i="3"/>
  <c r="L406" i="3" s="1"/>
  <c r="K406" i="3" l="1"/>
  <c r="J48" i="9" l="1"/>
  <c r="D143" i="8"/>
  <c r="D142" i="8"/>
  <c r="C32" i="8"/>
  <c r="K29" i="8" s="1"/>
  <c r="B100" i="8" s="1"/>
  <c r="J31" i="8"/>
  <c r="C90" i="8" s="1"/>
  <c r="F29" i="8"/>
  <c r="F32" i="8"/>
  <c r="F33" i="8"/>
  <c r="E30" i="8"/>
  <c r="E31" i="8"/>
  <c r="E32" i="8"/>
  <c r="E33" i="8"/>
  <c r="D30" i="8"/>
  <c r="L27" i="8" s="1"/>
  <c r="D31" i="8"/>
  <c r="L28" i="8" s="1"/>
  <c r="D32" i="8"/>
  <c r="L29" i="8" s="1"/>
  <c r="C100" i="8" s="1"/>
  <c r="D33" i="8"/>
  <c r="L30" i="8" s="1"/>
  <c r="C101" i="8" s="1"/>
  <c r="C30" i="8"/>
  <c r="K27" i="8" s="1"/>
  <c r="C31" i="8"/>
  <c r="K28" i="8" s="1"/>
  <c r="C33" i="8"/>
  <c r="K30" i="8" s="1"/>
  <c r="B101" i="8" s="1"/>
  <c r="B30" i="8"/>
  <c r="B31" i="8"/>
  <c r="B32" i="8"/>
  <c r="B33" i="8"/>
  <c r="C142" i="8" l="1"/>
  <c r="C145" i="8"/>
  <c r="C144" i="8"/>
  <c r="C143" i="8"/>
  <c r="B142" i="8"/>
  <c r="B145" i="8"/>
  <c r="B143" i="8"/>
  <c r="B144" i="8"/>
  <c r="F25" i="8" l="1"/>
  <c r="F26" i="8"/>
  <c r="F27" i="8"/>
  <c r="F28" i="8"/>
  <c r="E25" i="8"/>
  <c r="E26" i="8"/>
  <c r="E27" i="8"/>
  <c r="E28" i="8"/>
  <c r="E29" i="8"/>
  <c r="D25" i="8"/>
  <c r="D26" i="8"/>
  <c r="D27" i="8"/>
  <c r="D28" i="8"/>
  <c r="L24" i="8" s="1"/>
  <c r="D29" i="8"/>
  <c r="C25" i="8"/>
  <c r="C26" i="8"/>
  <c r="C27" i="8"/>
  <c r="K23" i="8" s="1"/>
  <c r="C28" i="8"/>
  <c r="K24" i="8" s="1"/>
  <c r="C29" i="8"/>
  <c r="K26" i="8" s="1"/>
  <c r="B25" i="8"/>
  <c r="B26" i="8"/>
  <c r="K25" i="8" s="1"/>
  <c r="B27" i="8"/>
  <c r="B28" i="8"/>
  <c r="B29" i="8"/>
  <c r="I405" i="3"/>
  <c r="I406" i="3" s="1"/>
  <c r="H405" i="3"/>
  <c r="H406" i="3" s="1"/>
  <c r="C32" i="20"/>
  <c r="L25" i="8" l="1"/>
  <c r="L23" i="8"/>
  <c r="E43" i="16" l="1"/>
  <c r="E42" i="16"/>
  <c r="E41" i="16"/>
  <c r="E40" i="16"/>
  <c r="E39" i="16"/>
  <c r="E38" i="16"/>
  <c r="E37" i="16"/>
  <c r="C16" i="37" l="1"/>
  <c r="C18" i="37"/>
  <c r="N6" i="73" l="1"/>
  <c r="N5" i="73"/>
  <c r="K4" i="73"/>
  <c r="K3" i="73"/>
  <c r="F6" i="73"/>
  <c r="F5" i="73"/>
  <c r="C4" i="73"/>
  <c r="C3" i="73"/>
  <c r="L25" i="73" l="1"/>
  <c r="L188" i="73"/>
  <c r="L180" i="73"/>
  <c r="L172" i="73"/>
  <c r="L164" i="73"/>
  <c r="L156" i="73"/>
  <c r="L141" i="73"/>
  <c r="L113" i="73"/>
  <c r="L97" i="73"/>
  <c r="L81" i="73"/>
  <c r="L65" i="73"/>
  <c r="L49" i="73"/>
  <c r="L33" i="73"/>
  <c r="L17" i="73"/>
  <c r="L187" i="73"/>
  <c r="L179" i="73"/>
  <c r="L171" i="73"/>
  <c r="L159" i="73"/>
  <c r="L155" i="73"/>
  <c r="L148" i="73"/>
  <c r="L140" i="73"/>
  <c r="L125" i="73"/>
  <c r="L109" i="73"/>
  <c r="L93" i="73"/>
  <c r="L77" i="73"/>
  <c r="L61" i="73"/>
  <c r="L45" i="73"/>
  <c r="L29" i="73"/>
  <c r="L13" i="73"/>
  <c r="L184" i="73"/>
  <c r="L176" i="73"/>
  <c r="L168" i="73"/>
  <c r="L160" i="73"/>
  <c r="L149" i="73"/>
  <c r="L129" i="73"/>
  <c r="L183" i="73"/>
  <c r="L175" i="73"/>
  <c r="L167" i="73"/>
  <c r="L163" i="73"/>
  <c r="L186" i="73"/>
  <c r="L182" i="73"/>
  <c r="L178" i="73"/>
  <c r="L174" i="73"/>
  <c r="L170" i="73"/>
  <c r="L166" i="73"/>
  <c r="L162" i="73"/>
  <c r="L158" i="73"/>
  <c r="L153" i="73"/>
  <c r="L145" i="73"/>
  <c r="L137" i="73"/>
  <c r="L121" i="73"/>
  <c r="L105" i="73"/>
  <c r="L89" i="73"/>
  <c r="L73" i="73"/>
  <c r="L57" i="73"/>
  <c r="L41" i="73"/>
  <c r="K9" i="73"/>
  <c r="O9" i="73" s="1"/>
  <c r="T2" i="73" s="1"/>
  <c r="L11" i="73"/>
  <c r="L15" i="73"/>
  <c r="L19" i="73"/>
  <c r="L23" i="73"/>
  <c r="L27" i="73"/>
  <c r="L31" i="73"/>
  <c r="L35" i="73"/>
  <c r="L39" i="73"/>
  <c r="L43" i="73"/>
  <c r="L47" i="73"/>
  <c r="L51" i="73"/>
  <c r="L55" i="73"/>
  <c r="L59" i="73"/>
  <c r="L63" i="73"/>
  <c r="L67" i="73"/>
  <c r="L71" i="73"/>
  <c r="L75" i="73"/>
  <c r="L79" i="73"/>
  <c r="L83" i="73"/>
  <c r="L87" i="73"/>
  <c r="L91" i="73"/>
  <c r="L95" i="73"/>
  <c r="L99" i="73"/>
  <c r="L103" i="73"/>
  <c r="L107" i="73"/>
  <c r="L111" i="73"/>
  <c r="L115" i="73"/>
  <c r="L119" i="73"/>
  <c r="L123" i="73"/>
  <c r="L127" i="73"/>
  <c r="L131" i="73"/>
  <c r="L135" i="73"/>
  <c r="L139" i="73"/>
  <c r="L143" i="73"/>
  <c r="L147" i="73"/>
  <c r="L151" i="73"/>
  <c r="L12" i="73"/>
  <c r="L16" i="73"/>
  <c r="L20" i="73"/>
  <c r="L24" i="73"/>
  <c r="L28" i="73"/>
  <c r="L32" i="73"/>
  <c r="L36" i="73"/>
  <c r="L40" i="73"/>
  <c r="L44" i="73"/>
  <c r="L48" i="73"/>
  <c r="L52" i="73"/>
  <c r="L56" i="73"/>
  <c r="L60" i="73"/>
  <c r="L64" i="73"/>
  <c r="L68" i="73"/>
  <c r="L72" i="73"/>
  <c r="L76" i="73"/>
  <c r="L80" i="73"/>
  <c r="L84" i="73"/>
  <c r="L88" i="73"/>
  <c r="L92" i="73"/>
  <c r="L96" i="73"/>
  <c r="L100" i="73"/>
  <c r="L104" i="73"/>
  <c r="L108" i="73"/>
  <c r="L112" i="73"/>
  <c r="L116" i="73"/>
  <c r="L120" i="73"/>
  <c r="L124" i="73"/>
  <c r="L128" i="73"/>
  <c r="L132" i="73"/>
  <c r="L136" i="73"/>
  <c r="L14" i="73"/>
  <c r="L18" i="73"/>
  <c r="L22" i="73"/>
  <c r="L26" i="73"/>
  <c r="L30" i="73"/>
  <c r="L34" i="73"/>
  <c r="L38" i="73"/>
  <c r="L42" i="73"/>
  <c r="L46" i="73"/>
  <c r="L50" i="73"/>
  <c r="L54" i="73"/>
  <c r="L58" i="73"/>
  <c r="L62" i="73"/>
  <c r="L66" i="73"/>
  <c r="L70" i="73"/>
  <c r="L74" i="73"/>
  <c r="L78" i="73"/>
  <c r="L82" i="73"/>
  <c r="L86" i="73"/>
  <c r="L90" i="73"/>
  <c r="L94" i="73"/>
  <c r="L98" i="73"/>
  <c r="L102" i="73"/>
  <c r="L106" i="73"/>
  <c r="L110" i="73"/>
  <c r="L114" i="73"/>
  <c r="L118" i="73"/>
  <c r="L122" i="73"/>
  <c r="L126" i="73"/>
  <c r="L130" i="73"/>
  <c r="L134" i="73"/>
  <c r="L138" i="73"/>
  <c r="L142" i="73"/>
  <c r="L146" i="73"/>
  <c r="L150" i="73"/>
  <c r="L154" i="73"/>
  <c r="L189" i="73"/>
  <c r="L185" i="73"/>
  <c r="L181" i="73"/>
  <c r="L177" i="73"/>
  <c r="L173" i="73"/>
  <c r="L169" i="73"/>
  <c r="L165" i="73"/>
  <c r="L161" i="73"/>
  <c r="L157" i="73"/>
  <c r="L152" i="73"/>
  <c r="L144" i="73"/>
  <c r="L133" i="73"/>
  <c r="L117" i="73"/>
  <c r="L101" i="73"/>
  <c r="L85" i="73"/>
  <c r="L69" i="73"/>
  <c r="L53" i="73"/>
  <c r="L37" i="73"/>
  <c r="L21" i="73"/>
  <c r="D341" i="73"/>
  <c r="K5" i="73"/>
  <c r="D349" i="73"/>
  <c r="D277" i="73"/>
  <c r="D129" i="73"/>
  <c r="D245" i="73"/>
  <c r="D309" i="73"/>
  <c r="D229" i="73"/>
  <c r="D357" i="73"/>
  <c r="D293" i="73"/>
  <c r="D197" i="73"/>
  <c r="C9" i="73"/>
  <c r="G9" i="73" s="1"/>
  <c r="S2" i="73" s="1"/>
  <c r="D365" i="73"/>
  <c r="D325" i="73"/>
  <c r="D261" i="73"/>
  <c r="D165" i="73"/>
  <c r="F3" i="73"/>
  <c r="F11" i="73" s="1"/>
  <c r="D356" i="73"/>
  <c r="D337" i="73"/>
  <c r="D305" i="73"/>
  <c r="D273" i="73"/>
  <c r="D241" i="73"/>
  <c r="D181" i="73"/>
  <c r="D107" i="73"/>
  <c r="D97" i="73"/>
  <c r="D364" i="73"/>
  <c r="D348" i="73"/>
  <c r="D321" i="73"/>
  <c r="D289" i="73"/>
  <c r="D257" i="73"/>
  <c r="D213" i="73"/>
  <c r="D149" i="73"/>
  <c r="D225" i="73"/>
  <c r="D209" i="73"/>
  <c r="D193" i="73"/>
  <c r="D177" i="73"/>
  <c r="D161" i="73"/>
  <c r="D145" i="73"/>
  <c r="D123" i="73"/>
  <c r="D102" i="73"/>
  <c r="D369" i="73"/>
  <c r="D361" i="73"/>
  <c r="D353" i="73"/>
  <c r="D345" i="73"/>
  <c r="D333" i="73"/>
  <c r="D317" i="73"/>
  <c r="D301" i="73"/>
  <c r="D285" i="73"/>
  <c r="D269" i="73"/>
  <c r="D253" i="73"/>
  <c r="D237" i="73"/>
  <c r="D221" i="73"/>
  <c r="D205" i="73"/>
  <c r="D189" i="73"/>
  <c r="D173" i="73"/>
  <c r="D157" i="73"/>
  <c r="D139" i="73"/>
  <c r="D118" i="73"/>
  <c r="D12" i="73"/>
  <c r="D16" i="73"/>
  <c r="D20" i="73"/>
  <c r="D24" i="73"/>
  <c r="D28" i="73"/>
  <c r="D32" i="73"/>
  <c r="D36" i="73"/>
  <c r="D40" i="73"/>
  <c r="D44" i="73"/>
  <c r="D48" i="73"/>
  <c r="D52" i="73"/>
  <c r="D56" i="73"/>
  <c r="D60" i="73"/>
  <c r="D64" i="73"/>
  <c r="D68" i="73"/>
  <c r="D72" i="73"/>
  <c r="D76" i="73"/>
  <c r="D80" i="73"/>
  <c r="D84" i="73"/>
  <c r="D88" i="73"/>
  <c r="D92" i="73"/>
  <c r="D96" i="73"/>
  <c r="D100" i="73"/>
  <c r="D104" i="73"/>
  <c r="D108" i="73"/>
  <c r="D112" i="73"/>
  <c r="D116" i="73"/>
  <c r="D120" i="73"/>
  <c r="D124" i="73"/>
  <c r="D128" i="73"/>
  <c r="D132" i="73"/>
  <c r="D136" i="73"/>
  <c r="D140" i="73"/>
  <c r="D144" i="73"/>
  <c r="D11" i="73"/>
  <c r="D17" i="73"/>
  <c r="D22" i="73"/>
  <c r="D27" i="73"/>
  <c r="D33" i="73"/>
  <c r="D38" i="73"/>
  <c r="D43" i="73"/>
  <c r="D49" i="73"/>
  <c r="D54" i="73"/>
  <c r="D59" i="73"/>
  <c r="D65" i="73"/>
  <c r="D70" i="73"/>
  <c r="D75" i="73"/>
  <c r="D81" i="73"/>
  <c r="D86" i="73"/>
  <c r="D91" i="73"/>
  <c r="D13" i="73"/>
  <c r="D18" i="73"/>
  <c r="D23" i="73"/>
  <c r="D29" i="73"/>
  <c r="D34" i="73"/>
  <c r="D39" i="73"/>
  <c r="D45" i="73"/>
  <c r="D50" i="73"/>
  <c r="D55" i="73"/>
  <c r="D61" i="73"/>
  <c r="D66" i="73"/>
  <c r="D71" i="73"/>
  <c r="D77" i="73"/>
  <c r="D82" i="73"/>
  <c r="D87" i="73"/>
  <c r="D93" i="73"/>
  <c r="D98" i="73"/>
  <c r="D103" i="73"/>
  <c r="D109" i="73"/>
  <c r="D114" i="73"/>
  <c r="D119" i="73"/>
  <c r="D125" i="73"/>
  <c r="D130" i="73"/>
  <c r="D135" i="73"/>
  <c r="D141" i="73"/>
  <c r="D146" i="73"/>
  <c r="D150" i="73"/>
  <c r="D154" i="73"/>
  <c r="D158" i="73"/>
  <c r="D162" i="73"/>
  <c r="D166" i="73"/>
  <c r="D170" i="73"/>
  <c r="D174" i="73"/>
  <c r="D178" i="73"/>
  <c r="D182" i="73"/>
  <c r="D186" i="73"/>
  <c r="D190" i="73"/>
  <c r="D194" i="73"/>
  <c r="D198" i="73"/>
  <c r="D202" i="73"/>
  <c r="D206" i="73"/>
  <c r="D210" i="73"/>
  <c r="D214" i="73"/>
  <c r="D218" i="73"/>
  <c r="D222" i="73"/>
  <c r="D226" i="73"/>
  <c r="D230" i="73"/>
  <c r="D234" i="73"/>
  <c r="D238" i="73"/>
  <c r="D242" i="73"/>
  <c r="D246" i="73"/>
  <c r="D250" i="73"/>
  <c r="D254" i="73"/>
  <c r="D258" i="73"/>
  <c r="D262" i="73"/>
  <c r="D266" i="73"/>
  <c r="D270" i="73"/>
  <c r="D274" i="73"/>
  <c r="D278" i="73"/>
  <c r="D282" i="73"/>
  <c r="D286" i="73"/>
  <c r="D290" i="73"/>
  <c r="D294" i="73"/>
  <c r="D298" i="73"/>
  <c r="D302" i="73"/>
  <c r="D306" i="73"/>
  <c r="D310" i="73"/>
  <c r="D314" i="73"/>
  <c r="D318" i="73"/>
  <c r="D322" i="73"/>
  <c r="D326" i="73"/>
  <c r="D330" i="73"/>
  <c r="D334" i="73"/>
  <c r="D338" i="73"/>
  <c r="D342" i="73"/>
  <c r="D346" i="73"/>
  <c r="D350" i="73"/>
  <c r="D354" i="73"/>
  <c r="D358" i="73"/>
  <c r="D362" i="73"/>
  <c r="D366" i="73"/>
  <c r="D10" i="73"/>
  <c r="D14" i="73"/>
  <c r="D19" i="73"/>
  <c r="D25" i="73"/>
  <c r="D30" i="73"/>
  <c r="D35" i="73"/>
  <c r="D41" i="73"/>
  <c r="D46" i="73"/>
  <c r="D51" i="73"/>
  <c r="D57" i="73"/>
  <c r="D62" i="73"/>
  <c r="D67" i="73"/>
  <c r="D73" i="73"/>
  <c r="D78" i="73"/>
  <c r="D83" i="73"/>
  <c r="D89" i="73"/>
  <c r="D94" i="73"/>
  <c r="D99" i="73"/>
  <c r="D105" i="73"/>
  <c r="D110" i="73"/>
  <c r="D115" i="73"/>
  <c r="D121" i="73"/>
  <c r="D126" i="73"/>
  <c r="D131" i="73"/>
  <c r="D137" i="73"/>
  <c r="D142" i="73"/>
  <c r="D147" i="73"/>
  <c r="D151" i="73"/>
  <c r="D155" i="73"/>
  <c r="D159" i="73"/>
  <c r="D163" i="73"/>
  <c r="D167" i="73"/>
  <c r="D171" i="73"/>
  <c r="D175" i="73"/>
  <c r="D179" i="73"/>
  <c r="D183" i="73"/>
  <c r="D187" i="73"/>
  <c r="D191" i="73"/>
  <c r="D195" i="73"/>
  <c r="D199" i="73"/>
  <c r="D203" i="73"/>
  <c r="D207" i="73"/>
  <c r="D211" i="73"/>
  <c r="D215" i="73"/>
  <c r="D219" i="73"/>
  <c r="D223" i="73"/>
  <c r="D227" i="73"/>
  <c r="D231" i="73"/>
  <c r="D235" i="73"/>
  <c r="D239" i="73"/>
  <c r="D243" i="73"/>
  <c r="D247" i="73"/>
  <c r="D251" i="73"/>
  <c r="D255" i="73"/>
  <c r="D259" i="73"/>
  <c r="D263" i="73"/>
  <c r="D267" i="73"/>
  <c r="D271" i="73"/>
  <c r="D275" i="73"/>
  <c r="D279" i="73"/>
  <c r="D283" i="73"/>
  <c r="D287" i="73"/>
  <c r="D291" i="73"/>
  <c r="D295" i="73"/>
  <c r="D299" i="73"/>
  <c r="D303" i="73"/>
  <c r="D307" i="73"/>
  <c r="D311" i="73"/>
  <c r="D315" i="73"/>
  <c r="D319" i="73"/>
  <c r="D323" i="73"/>
  <c r="D327" i="73"/>
  <c r="D331" i="73"/>
  <c r="D335" i="73"/>
  <c r="D339" i="73"/>
  <c r="D343" i="73"/>
  <c r="D347" i="73"/>
  <c r="D351" i="73"/>
  <c r="D355" i="73"/>
  <c r="D359" i="73"/>
  <c r="D363" i="73"/>
  <c r="D367" i="73"/>
  <c r="D15" i="73"/>
  <c r="D21" i="73"/>
  <c r="D26" i="73"/>
  <c r="D31" i="73"/>
  <c r="D37" i="73"/>
  <c r="D42" i="73"/>
  <c r="D47" i="73"/>
  <c r="D53" i="73"/>
  <c r="D58" i="73"/>
  <c r="D63" i="73"/>
  <c r="D69" i="73"/>
  <c r="D74" i="73"/>
  <c r="D79" i="73"/>
  <c r="D85" i="73"/>
  <c r="D90" i="73"/>
  <c r="D95" i="73"/>
  <c r="D101" i="73"/>
  <c r="D106" i="73"/>
  <c r="D111" i="73"/>
  <c r="D117" i="73"/>
  <c r="D122" i="73"/>
  <c r="D127" i="73"/>
  <c r="D133" i="73"/>
  <c r="D138" i="73"/>
  <c r="D143" i="73"/>
  <c r="D148" i="73"/>
  <c r="D152" i="73"/>
  <c r="D156" i="73"/>
  <c r="D160" i="73"/>
  <c r="D164" i="73"/>
  <c r="D168" i="73"/>
  <c r="D172" i="73"/>
  <c r="D176" i="73"/>
  <c r="D180" i="73"/>
  <c r="D184" i="73"/>
  <c r="D188" i="73"/>
  <c r="D192" i="73"/>
  <c r="D196" i="73"/>
  <c r="D200" i="73"/>
  <c r="D204" i="73"/>
  <c r="D208" i="73"/>
  <c r="D212" i="73"/>
  <c r="D216" i="73"/>
  <c r="D220" i="73"/>
  <c r="D224" i="73"/>
  <c r="D228" i="73"/>
  <c r="D232" i="73"/>
  <c r="D236" i="73"/>
  <c r="D240" i="73"/>
  <c r="D244" i="73"/>
  <c r="D248" i="73"/>
  <c r="D252" i="73"/>
  <c r="D256" i="73"/>
  <c r="D260" i="73"/>
  <c r="D264" i="73"/>
  <c r="D268" i="73"/>
  <c r="D272" i="73"/>
  <c r="D276" i="73"/>
  <c r="D280" i="73"/>
  <c r="D284" i="73"/>
  <c r="D288" i="73"/>
  <c r="D292" i="73"/>
  <c r="D296" i="73"/>
  <c r="D300" i="73"/>
  <c r="D304" i="73"/>
  <c r="D308" i="73"/>
  <c r="D312" i="73"/>
  <c r="D316" i="73"/>
  <c r="D320" i="73"/>
  <c r="D324" i="73"/>
  <c r="D328" i="73"/>
  <c r="D332" i="73"/>
  <c r="D336" i="73"/>
  <c r="D340" i="73"/>
  <c r="D368" i="73"/>
  <c r="D360" i="73"/>
  <c r="D352" i="73"/>
  <c r="D344" i="73"/>
  <c r="D329" i="73"/>
  <c r="D313" i="73"/>
  <c r="D297" i="73"/>
  <c r="D281" i="73"/>
  <c r="D265" i="73"/>
  <c r="D249" i="73"/>
  <c r="D233" i="73"/>
  <c r="D217" i="73"/>
  <c r="D201" i="73"/>
  <c r="D185" i="73"/>
  <c r="D169" i="73"/>
  <c r="D153" i="73"/>
  <c r="D134" i="73"/>
  <c r="D113" i="73"/>
  <c r="L10" i="73"/>
  <c r="N3" i="73"/>
  <c r="G74" i="3"/>
  <c r="G73" i="3"/>
  <c r="G65" i="3"/>
  <c r="G64" i="3"/>
  <c r="F185" i="73" l="1"/>
  <c r="E185" i="73" s="1"/>
  <c r="F220" i="73"/>
  <c r="E220" i="73" s="1"/>
  <c r="F248" i="73"/>
  <c r="E248" i="73" s="1"/>
  <c r="F221" i="73"/>
  <c r="E221" i="73" s="1"/>
  <c r="F301" i="73"/>
  <c r="E301" i="73" s="1"/>
  <c r="F241" i="73"/>
  <c r="E241" i="73" s="1"/>
  <c r="F42" i="73"/>
  <c r="E42" i="73" s="1"/>
  <c r="F359" i="73"/>
  <c r="E359" i="73" s="1"/>
  <c r="F349" i="73"/>
  <c r="E349" i="73" s="1"/>
  <c r="F57" i="73"/>
  <c r="E57" i="73" s="1"/>
  <c r="F92" i="73"/>
  <c r="E92" i="73" s="1"/>
  <c r="F338" i="73"/>
  <c r="E338" i="73" s="1"/>
  <c r="F41" i="73"/>
  <c r="E41" i="73" s="1"/>
  <c r="F353" i="73"/>
  <c r="E353" i="73" s="1"/>
  <c r="F116" i="73"/>
  <c r="E116" i="73" s="1"/>
  <c r="F267" i="73"/>
  <c r="E267" i="73" s="1"/>
  <c r="F156" i="73"/>
  <c r="E156" i="73" s="1"/>
  <c r="F253" i="73"/>
  <c r="E253" i="73" s="1"/>
  <c r="F170" i="73"/>
  <c r="E170" i="73" s="1"/>
  <c r="F166" i="73"/>
  <c r="E166" i="73" s="1"/>
  <c r="F149" i="73"/>
  <c r="E149" i="73" s="1"/>
  <c r="F184" i="73"/>
  <c r="E184" i="73" s="1"/>
  <c r="F363" i="73"/>
  <c r="E363" i="73" s="1"/>
  <c r="F245" i="73"/>
  <c r="E245" i="73" s="1"/>
  <c r="F323" i="73"/>
  <c r="E323" i="73" s="1"/>
  <c r="F55" i="73"/>
  <c r="E55" i="73" s="1"/>
  <c r="F115" i="73"/>
  <c r="E115" i="73" s="1"/>
  <c r="F325" i="73"/>
  <c r="E325" i="73" s="1"/>
  <c r="F183" i="73"/>
  <c r="E183" i="73" s="1"/>
  <c r="F297" i="73"/>
  <c r="E297" i="73" s="1"/>
  <c r="F348" i="73"/>
  <c r="E348" i="73" s="1"/>
  <c r="F61" i="73"/>
  <c r="E61" i="73" s="1"/>
  <c r="F239" i="73"/>
  <c r="E239" i="73" s="1"/>
  <c r="F352" i="73"/>
  <c r="E352" i="73" s="1"/>
  <c r="F238" i="73"/>
  <c r="E238" i="73" s="1"/>
  <c r="F312" i="73"/>
  <c r="E312" i="73" s="1"/>
  <c r="F75" i="73"/>
  <c r="E75" i="73" s="1"/>
  <c r="F229" i="73"/>
  <c r="E229" i="73" s="1"/>
  <c r="F326" i="73"/>
  <c r="E326" i="73" s="1"/>
  <c r="F211" i="73"/>
  <c r="E211" i="73" s="1"/>
  <c r="F284" i="73"/>
  <c r="E284" i="73" s="1"/>
  <c r="F32" i="73"/>
  <c r="E32" i="73" s="1"/>
  <c r="F64" i="73"/>
  <c r="E64" i="73" s="1"/>
  <c r="F14" i="73"/>
  <c r="E14" i="73" s="1"/>
  <c r="F46" i="73"/>
  <c r="E46" i="73" s="1"/>
  <c r="F78" i="73"/>
  <c r="E78" i="73" s="1"/>
  <c r="F110" i="73"/>
  <c r="E110" i="73" s="1"/>
  <c r="F19" i="73"/>
  <c r="E19" i="73" s="1"/>
  <c r="F83" i="73"/>
  <c r="E83" i="73" s="1"/>
  <c r="F129" i="73"/>
  <c r="E129" i="73" s="1"/>
  <c r="F163" i="73"/>
  <c r="E163" i="73" s="1"/>
  <c r="F69" i="73"/>
  <c r="E69" i="73" s="1"/>
  <c r="F12" i="73"/>
  <c r="E12" i="73" s="1"/>
  <c r="F44" i="73"/>
  <c r="E44" i="73" s="1"/>
  <c r="F76" i="73"/>
  <c r="E76" i="73" s="1"/>
  <c r="F26" i="73"/>
  <c r="E26" i="73" s="1"/>
  <c r="F58" i="73"/>
  <c r="E58" i="73" s="1"/>
  <c r="F90" i="73"/>
  <c r="E90" i="73" s="1"/>
  <c r="F122" i="73"/>
  <c r="E122" i="73" s="1"/>
  <c r="F43" i="73"/>
  <c r="E43" i="73" s="1"/>
  <c r="F103" i="73"/>
  <c r="E103" i="73" s="1"/>
  <c r="F143" i="73"/>
  <c r="E143" i="73" s="1"/>
  <c r="F29" i="73"/>
  <c r="E29" i="73" s="1"/>
  <c r="F93" i="73"/>
  <c r="E93" i="73" s="1"/>
  <c r="F136" i="73"/>
  <c r="E136" i="73" s="1"/>
  <c r="F168" i="73"/>
  <c r="E168" i="73" s="1"/>
  <c r="F200" i="73"/>
  <c r="E200" i="73" s="1"/>
  <c r="F232" i="73"/>
  <c r="E232" i="73" s="1"/>
  <c r="F264" i="73"/>
  <c r="E264" i="73" s="1"/>
  <c r="F296" i="73"/>
  <c r="E296" i="73" s="1"/>
  <c r="F328" i="73"/>
  <c r="E328" i="73" s="1"/>
  <c r="F23" i="73"/>
  <c r="E23" i="73" s="1"/>
  <c r="F87" i="73"/>
  <c r="E87" i="73" s="1"/>
  <c r="F132" i="73"/>
  <c r="E132" i="73" s="1"/>
  <c r="F165" i="73"/>
  <c r="E165" i="73" s="1"/>
  <c r="F197" i="73"/>
  <c r="E197" i="73" s="1"/>
  <c r="F142" i="73"/>
  <c r="E142" i="73" s="1"/>
  <c r="F217" i="73"/>
  <c r="E217" i="73" s="1"/>
  <c r="F259" i="73"/>
  <c r="E259" i="73" s="1"/>
  <c r="F302" i="73"/>
  <c r="E302" i="73" s="1"/>
  <c r="F345" i="73"/>
  <c r="E345" i="73" s="1"/>
  <c r="F89" i="73"/>
  <c r="E89" i="73" s="1"/>
  <c r="F202" i="73"/>
  <c r="E202" i="73" s="1"/>
  <c r="F246" i="73"/>
  <c r="E246" i="73" s="1"/>
  <c r="F289" i="73"/>
  <c r="E289" i="73" s="1"/>
  <c r="F331" i="73"/>
  <c r="E331" i="73" s="1"/>
  <c r="F368" i="73"/>
  <c r="E368" i="73" s="1"/>
  <c r="F199" i="73"/>
  <c r="E199" i="73" s="1"/>
  <c r="F287" i="73"/>
  <c r="E287" i="73" s="1"/>
  <c r="F367" i="73"/>
  <c r="E367" i="73" s="1"/>
  <c r="F226" i="73"/>
  <c r="E226" i="73" s="1"/>
  <c r="F311" i="73"/>
  <c r="E311" i="73" s="1"/>
  <c r="F175" i="73"/>
  <c r="E175" i="73" s="1"/>
  <c r="F271" i="73"/>
  <c r="E271" i="73" s="1"/>
  <c r="F355" i="73"/>
  <c r="E355" i="73" s="1"/>
  <c r="F210" i="73"/>
  <c r="E210" i="73" s="1"/>
  <c r="F295" i="73"/>
  <c r="E295" i="73" s="1"/>
  <c r="F16" i="73"/>
  <c r="E16" i="73" s="1"/>
  <c r="F48" i="73"/>
  <c r="F80" i="73"/>
  <c r="E80" i="73" s="1"/>
  <c r="F30" i="73"/>
  <c r="E30" i="73" s="1"/>
  <c r="F62" i="73"/>
  <c r="E62" i="73" s="1"/>
  <c r="F94" i="73"/>
  <c r="E94" i="73" s="1"/>
  <c r="F126" i="73"/>
  <c r="E126" i="73" s="1"/>
  <c r="F51" i="73"/>
  <c r="E51" i="73" s="1"/>
  <c r="F108" i="73"/>
  <c r="E108" i="73" s="1"/>
  <c r="F147" i="73"/>
  <c r="E147" i="73" s="1"/>
  <c r="F37" i="73"/>
  <c r="E37" i="73" s="1"/>
  <c r="F99" i="73"/>
  <c r="E99" i="73" s="1"/>
  <c r="F140" i="73"/>
  <c r="E140" i="73" s="1"/>
  <c r="F172" i="73"/>
  <c r="E172" i="73" s="1"/>
  <c r="F204" i="73"/>
  <c r="E204" i="73" s="1"/>
  <c r="F236" i="73"/>
  <c r="E236" i="73" s="1"/>
  <c r="F268" i="73"/>
  <c r="E268" i="73" s="1"/>
  <c r="F300" i="73"/>
  <c r="E300" i="73" s="1"/>
  <c r="F332" i="73"/>
  <c r="E332" i="73" s="1"/>
  <c r="F31" i="73"/>
  <c r="E31" i="73" s="1"/>
  <c r="F95" i="73"/>
  <c r="E95" i="73" s="1"/>
  <c r="F137" i="73"/>
  <c r="E137" i="73" s="1"/>
  <c r="F169" i="73"/>
  <c r="E169" i="73" s="1"/>
  <c r="F201" i="73"/>
  <c r="E201" i="73" s="1"/>
  <c r="F182" i="73"/>
  <c r="E182" i="73" s="1"/>
  <c r="F233" i="73"/>
  <c r="E233" i="73" s="1"/>
  <c r="F275" i="73"/>
  <c r="E275" i="73" s="1"/>
  <c r="F318" i="73"/>
  <c r="E318" i="73" s="1"/>
  <c r="F358" i="73"/>
  <c r="E358" i="73" s="1"/>
  <c r="F150" i="73"/>
  <c r="E150" i="73" s="1"/>
  <c r="F219" i="73"/>
  <c r="E219" i="73" s="1"/>
  <c r="F262" i="73"/>
  <c r="E262" i="73" s="1"/>
  <c r="F305" i="73"/>
  <c r="E305" i="73" s="1"/>
  <c r="F347" i="73"/>
  <c r="E347" i="73" s="1"/>
  <c r="F17" i="73"/>
  <c r="E17" i="73" s="1"/>
  <c r="F234" i="73"/>
  <c r="E234" i="73" s="1"/>
  <c r="F319" i="73"/>
  <c r="E319" i="73" s="1"/>
  <c r="F138" i="73"/>
  <c r="E138" i="73" s="1"/>
  <c r="F258" i="73"/>
  <c r="E258" i="73" s="1"/>
  <c r="F343" i="73"/>
  <c r="E343" i="73" s="1"/>
  <c r="F306" i="73"/>
  <c r="E306" i="73" s="1"/>
  <c r="F154" i="73"/>
  <c r="E154" i="73" s="1"/>
  <c r="F314" i="73"/>
  <c r="E314" i="73" s="1"/>
  <c r="F191" i="73"/>
  <c r="E191" i="73" s="1"/>
  <c r="F269" i="73"/>
  <c r="E269" i="73" s="1"/>
  <c r="F330" i="73"/>
  <c r="E330" i="73" s="1"/>
  <c r="F81" i="73"/>
  <c r="E81" i="73" s="1"/>
  <c r="F310" i="73"/>
  <c r="E310" i="73" s="1"/>
  <c r="F225" i="73"/>
  <c r="E225" i="73" s="1"/>
  <c r="F362" i="73"/>
  <c r="E362" i="73" s="1"/>
  <c r="F281" i="73"/>
  <c r="E281" i="73" s="1"/>
  <c r="F190" i="73"/>
  <c r="E190" i="73" s="1"/>
  <c r="F181" i="73"/>
  <c r="E181" i="73" s="1"/>
  <c r="F111" i="73"/>
  <c r="E111" i="73" s="1"/>
  <c r="F344" i="73"/>
  <c r="E344" i="73" s="1"/>
  <c r="F280" i="73"/>
  <c r="E280" i="73" s="1"/>
  <c r="F216" i="73"/>
  <c r="E216" i="73" s="1"/>
  <c r="F152" i="73"/>
  <c r="E152" i="73" s="1"/>
  <c r="F159" i="73"/>
  <c r="E159" i="73" s="1"/>
  <c r="F106" i="73"/>
  <c r="E106" i="73" s="1"/>
  <c r="F60" i="73"/>
  <c r="E60" i="73" s="1"/>
  <c r="F263" i="73"/>
  <c r="E263" i="73" s="1"/>
  <c r="F117" i="73"/>
  <c r="E117" i="73" s="1"/>
  <c r="F282" i="73"/>
  <c r="E282" i="73" s="1"/>
  <c r="F49" i="73"/>
  <c r="E49" i="73" s="1"/>
  <c r="F215" i="73"/>
  <c r="E215" i="73" s="1"/>
  <c r="F277" i="73"/>
  <c r="E277" i="73" s="1"/>
  <c r="F364" i="73"/>
  <c r="E364" i="73" s="1"/>
  <c r="F283" i="73"/>
  <c r="E283" i="73" s="1"/>
  <c r="F194" i="73"/>
  <c r="E194" i="73" s="1"/>
  <c r="F339" i="73"/>
  <c r="E339" i="73" s="1"/>
  <c r="F254" i="73"/>
  <c r="E254" i="73" s="1"/>
  <c r="F123" i="73"/>
  <c r="E123" i="73" s="1"/>
  <c r="F153" i="73"/>
  <c r="E153" i="73" s="1"/>
  <c r="F63" i="73"/>
  <c r="E63" i="73" s="1"/>
  <c r="F316" i="73"/>
  <c r="E316" i="73" s="1"/>
  <c r="F252" i="73"/>
  <c r="E252" i="73" s="1"/>
  <c r="F188" i="73"/>
  <c r="E188" i="73" s="1"/>
  <c r="F120" i="73"/>
  <c r="E120" i="73" s="1"/>
  <c r="F124" i="73"/>
  <c r="E124" i="73" s="1"/>
  <c r="F74" i="73"/>
  <c r="E74" i="73" s="1"/>
  <c r="F28" i="73"/>
  <c r="E28" i="73" s="1"/>
  <c r="C10" i="73"/>
  <c r="C11" i="73" s="1"/>
  <c r="C12" i="73" s="1"/>
  <c r="C13" i="73" s="1"/>
  <c r="C14" i="73" s="1"/>
  <c r="C15" i="73" s="1"/>
  <c r="C16" i="73" s="1"/>
  <c r="C17" i="73" s="1"/>
  <c r="C18" i="73" s="1"/>
  <c r="C19" i="73" s="1"/>
  <c r="C20" i="73" s="1"/>
  <c r="C21" i="73" s="1"/>
  <c r="C22" i="73" s="1"/>
  <c r="U2" i="73"/>
  <c r="K10" i="73"/>
  <c r="K11" i="73" s="1"/>
  <c r="K12" i="73" s="1"/>
  <c r="K13" i="73" s="1"/>
  <c r="K14" i="73" s="1"/>
  <c r="K15" i="73" s="1"/>
  <c r="K16" i="73" s="1"/>
  <c r="K17" i="73" s="1"/>
  <c r="K18" i="73" s="1"/>
  <c r="K19" i="73" s="1"/>
  <c r="K20" i="73" s="1"/>
  <c r="K21" i="73" s="1"/>
  <c r="K22" i="73" s="1"/>
  <c r="N10" i="73"/>
  <c r="M10" i="73" s="1"/>
  <c r="N14" i="73"/>
  <c r="M14" i="73" s="1"/>
  <c r="N18" i="73"/>
  <c r="M18" i="73" s="1"/>
  <c r="N22" i="73"/>
  <c r="M22" i="73" s="1"/>
  <c r="N26" i="73"/>
  <c r="M26" i="73" s="1"/>
  <c r="N30" i="73"/>
  <c r="M30" i="73" s="1"/>
  <c r="N34" i="73"/>
  <c r="M34" i="73" s="1"/>
  <c r="N38" i="73"/>
  <c r="M38" i="73" s="1"/>
  <c r="N42" i="73"/>
  <c r="M42" i="73" s="1"/>
  <c r="N46" i="73"/>
  <c r="M46" i="73" s="1"/>
  <c r="N50" i="73"/>
  <c r="M50" i="73" s="1"/>
  <c r="N54" i="73"/>
  <c r="M54" i="73" s="1"/>
  <c r="N58" i="73"/>
  <c r="M58" i="73" s="1"/>
  <c r="N62" i="73"/>
  <c r="M62" i="73" s="1"/>
  <c r="N66" i="73"/>
  <c r="M66" i="73" s="1"/>
  <c r="N70" i="73"/>
  <c r="M70" i="73" s="1"/>
  <c r="N74" i="73"/>
  <c r="M74" i="73" s="1"/>
  <c r="N78" i="73"/>
  <c r="M78" i="73" s="1"/>
  <c r="N82" i="73"/>
  <c r="M82" i="73" s="1"/>
  <c r="N86" i="73"/>
  <c r="M86" i="73" s="1"/>
  <c r="N90" i="73"/>
  <c r="M90" i="73" s="1"/>
  <c r="N94" i="73"/>
  <c r="M94" i="73" s="1"/>
  <c r="N98" i="73"/>
  <c r="M98" i="73" s="1"/>
  <c r="N102" i="73"/>
  <c r="M102" i="73" s="1"/>
  <c r="N106" i="73"/>
  <c r="M106" i="73" s="1"/>
  <c r="N110" i="73"/>
  <c r="M110" i="73" s="1"/>
  <c r="N114" i="73"/>
  <c r="M114" i="73" s="1"/>
  <c r="N118" i="73"/>
  <c r="M118" i="73" s="1"/>
  <c r="N122" i="73"/>
  <c r="M122" i="73" s="1"/>
  <c r="N126" i="73"/>
  <c r="M126" i="73" s="1"/>
  <c r="N130" i="73"/>
  <c r="M130" i="73" s="1"/>
  <c r="N134" i="73"/>
  <c r="M134" i="73" s="1"/>
  <c r="N138" i="73"/>
  <c r="M138" i="73" s="1"/>
  <c r="N142" i="73"/>
  <c r="M142" i="73" s="1"/>
  <c r="N146" i="73"/>
  <c r="M146" i="73" s="1"/>
  <c r="N150" i="73"/>
  <c r="M150" i="73" s="1"/>
  <c r="N154" i="73"/>
  <c r="M154" i="73" s="1"/>
  <c r="N158" i="73"/>
  <c r="M158" i="73" s="1"/>
  <c r="N162" i="73"/>
  <c r="M162" i="73" s="1"/>
  <c r="N166" i="73"/>
  <c r="M166" i="73" s="1"/>
  <c r="N170" i="73"/>
  <c r="M170" i="73" s="1"/>
  <c r="N174" i="73"/>
  <c r="M174" i="73" s="1"/>
  <c r="N178" i="73"/>
  <c r="M178" i="73" s="1"/>
  <c r="N182" i="73"/>
  <c r="M182" i="73" s="1"/>
  <c r="N186" i="73"/>
  <c r="M186" i="73" s="1"/>
  <c r="N11" i="73"/>
  <c r="M11" i="73" s="1"/>
  <c r="N15" i="73"/>
  <c r="M15" i="73" s="1"/>
  <c r="N19" i="73"/>
  <c r="M19" i="73" s="1"/>
  <c r="N23" i="73"/>
  <c r="M23" i="73" s="1"/>
  <c r="N27" i="73"/>
  <c r="M27" i="73" s="1"/>
  <c r="N31" i="73"/>
  <c r="M31" i="73" s="1"/>
  <c r="N35" i="73"/>
  <c r="M35" i="73" s="1"/>
  <c r="N39" i="73"/>
  <c r="M39" i="73" s="1"/>
  <c r="N43" i="73"/>
  <c r="M43" i="73" s="1"/>
  <c r="N47" i="73"/>
  <c r="M47" i="73" s="1"/>
  <c r="N51" i="73"/>
  <c r="M51" i="73" s="1"/>
  <c r="N55" i="73"/>
  <c r="M55" i="73" s="1"/>
  <c r="N59" i="73"/>
  <c r="M59" i="73" s="1"/>
  <c r="N63" i="73"/>
  <c r="M63" i="73" s="1"/>
  <c r="N67" i="73"/>
  <c r="M67" i="73" s="1"/>
  <c r="N71" i="73"/>
  <c r="M71" i="73" s="1"/>
  <c r="N75" i="73"/>
  <c r="M75" i="73" s="1"/>
  <c r="N79" i="73"/>
  <c r="M79" i="73" s="1"/>
  <c r="N83" i="73"/>
  <c r="M83" i="73" s="1"/>
  <c r="N87" i="73"/>
  <c r="M87" i="73" s="1"/>
  <c r="N91" i="73"/>
  <c r="M91" i="73" s="1"/>
  <c r="N95" i="73"/>
  <c r="M95" i="73" s="1"/>
  <c r="N99" i="73"/>
  <c r="M99" i="73" s="1"/>
  <c r="N103" i="73"/>
  <c r="M103" i="73" s="1"/>
  <c r="N107" i="73"/>
  <c r="M107" i="73" s="1"/>
  <c r="N111" i="73"/>
  <c r="M111" i="73" s="1"/>
  <c r="N115" i="73"/>
  <c r="M115" i="73" s="1"/>
  <c r="N119" i="73"/>
  <c r="M119" i="73" s="1"/>
  <c r="N123" i="73"/>
  <c r="M123" i="73" s="1"/>
  <c r="N127" i="73"/>
  <c r="M127" i="73" s="1"/>
  <c r="N131" i="73"/>
  <c r="M131" i="73" s="1"/>
  <c r="N135" i="73"/>
  <c r="M135" i="73" s="1"/>
  <c r="N139" i="73"/>
  <c r="M139" i="73" s="1"/>
  <c r="N143" i="73"/>
  <c r="M143" i="73" s="1"/>
  <c r="N147" i="73"/>
  <c r="M147" i="73" s="1"/>
  <c r="N151" i="73"/>
  <c r="M151" i="73" s="1"/>
  <c r="N155" i="73"/>
  <c r="M155" i="73" s="1"/>
  <c r="N159" i="73"/>
  <c r="M159" i="73" s="1"/>
  <c r="N163" i="73"/>
  <c r="M163" i="73" s="1"/>
  <c r="N167" i="73"/>
  <c r="M167" i="73" s="1"/>
  <c r="N171" i="73"/>
  <c r="M171" i="73" s="1"/>
  <c r="N175" i="73"/>
  <c r="M175" i="73" s="1"/>
  <c r="N179" i="73"/>
  <c r="M179" i="73" s="1"/>
  <c r="N183" i="73"/>
  <c r="M183" i="73" s="1"/>
  <c r="N187" i="73"/>
  <c r="M187" i="73" s="1"/>
  <c r="N13" i="73"/>
  <c r="M13" i="73" s="1"/>
  <c r="N17" i="73"/>
  <c r="M17" i="73" s="1"/>
  <c r="N21" i="73"/>
  <c r="M21" i="73" s="1"/>
  <c r="N25" i="73"/>
  <c r="M25" i="73" s="1"/>
  <c r="N29" i="73"/>
  <c r="M29" i="73" s="1"/>
  <c r="N33" i="73"/>
  <c r="M33" i="73" s="1"/>
  <c r="N37" i="73"/>
  <c r="M37" i="73" s="1"/>
  <c r="N41" i="73"/>
  <c r="M41" i="73" s="1"/>
  <c r="N45" i="73"/>
  <c r="M45" i="73" s="1"/>
  <c r="N49" i="73"/>
  <c r="M49" i="73" s="1"/>
  <c r="N53" i="73"/>
  <c r="M53" i="73" s="1"/>
  <c r="N57" i="73"/>
  <c r="M57" i="73" s="1"/>
  <c r="N61" i="73"/>
  <c r="M61" i="73" s="1"/>
  <c r="N65" i="73"/>
  <c r="M65" i="73" s="1"/>
  <c r="N69" i="73"/>
  <c r="M69" i="73" s="1"/>
  <c r="N73" i="73"/>
  <c r="M73" i="73" s="1"/>
  <c r="N77" i="73"/>
  <c r="M77" i="73" s="1"/>
  <c r="N81" i="73"/>
  <c r="M81" i="73" s="1"/>
  <c r="N85" i="73"/>
  <c r="M85" i="73" s="1"/>
  <c r="N89" i="73"/>
  <c r="M89" i="73" s="1"/>
  <c r="N93" i="73"/>
  <c r="M93" i="73" s="1"/>
  <c r="N97" i="73"/>
  <c r="M97" i="73" s="1"/>
  <c r="N101" i="73"/>
  <c r="M101" i="73" s="1"/>
  <c r="N105" i="73"/>
  <c r="M105" i="73" s="1"/>
  <c r="N109" i="73"/>
  <c r="M109" i="73" s="1"/>
  <c r="N113" i="73"/>
  <c r="M113" i="73" s="1"/>
  <c r="N117" i="73"/>
  <c r="M117" i="73" s="1"/>
  <c r="N121" i="73"/>
  <c r="M121" i="73" s="1"/>
  <c r="N125" i="73"/>
  <c r="M125" i="73" s="1"/>
  <c r="N129" i="73"/>
  <c r="M129" i="73" s="1"/>
  <c r="N133" i="73"/>
  <c r="M133" i="73" s="1"/>
  <c r="N137" i="73"/>
  <c r="M137" i="73" s="1"/>
  <c r="N141" i="73"/>
  <c r="M141" i="73" s="1"/>
  <c r="N145" i="73"/>
  <c r="M145" i="73" s="1"/>
  <c r="N149" i="73"/>
  <c r="M149" i="73" s="1"/>
  <c r="N153" i="73"/>
  <c r="M153" i="73" s="1"/>
  <c r="N157" i="73"/>
  <c r="M157" i="73" s="1"/>
  <c r="N161" i="73"/>
  <c r="M161" i="73" s="1"/>
  <c r="N165" i="73"/>
  <c r="M165" i="73" s="1"/>
  <c r="N169" i="73"/>
  <c r="M169" i="73" s="1"/>
  <c r="N173" i="73"/>
  <c r="M173" i="73" s="1"/>
  <c r="N177" i="73"/>
  <c r="M177" i="73" s="1"/>
  <c r="N181" i="73"/>
  <c r="M181" i="73" s="1"/>
  <c r="N185" i="73"/>
  <c r="M185" i="73" s="1"/>
  <c r="N189" i="73"/>
  <c r="M189" i="73" s="1"/>
  <c r="N24" i="73"/>
  <c r="M24" i="73" s="1"/>
  <c r="N40" i="73"/>
  <c r="M40" i="73" s="1"/>
  <c r="N56" i="73"/>
  <c r="M56" i="73" s="1"/>
  <c r="N72" i="73"/>
  <c r="M72" i="73" s="1"/>
  <c r="N88" i="73"/>
  <c r="M88" i="73" s="1"/>
  <c r="N104" i="73"/>
  <c r="M104" i="73" s="1"/>
  <c r="N120" i="73"/>
  <c r="M120" i="73" s="1"/>
  <c r="N136" i="73"/>
  <c r="M136" i="73" s="1"/>
  <c r="N152" i="73"/>
  <c r="M152" i="73" s="1"/>
  <c r="N168" i="73"/>
  <c r="M168" i="73" s="1"/>
  <c r="N184" i="73"/>
  <c r="M184" i="73" s="1"/>
  <c r="N12" i="73"/>
  <c r="M12" i="73" s="1"/>
  <c r="N28" i="73"/>
  <c r="M28" i="73" s="1"/>
  <c r="N44" i="73"/>
  <c r="M44" i="73" s="1"/>
  <c r="N60" i="73"/>
  <c r="M60" i="73" s="1"/>
  <c r="N76" i="73"/>
  <c r="M76" i="73" s="1"/>
  <c r="N92" i="73"/>
  <c r="M92" i="73" s="1"/>
  <c r="N108" i="73"/>
  <c r="M108" i="73" s="1"/>
  <c r="N124" i="73"/>
  <c r="M124" i="73" s="1"/>
  <c r="N140" i="73"/>
  <c r="M140" i="73" s="1"/>
  <c r="N156" i="73"/>
  <c r="M156" i="73" s="1"/>
  <c r="N172" i="73"/>
  <c r="M172" i="73" s="1"/>
  <c r="N188" i="73"/>
  <c r="M188" i="73" s="1"/>
  <c r="N16" i="73"/>
  <c r="M16" i="73" s="1"/>
  <c r="N32" i="73"/>
  <c r="M32" i="73" s="1"/>
  <c r="N48" i="73"/>
  <c r="M48" i="73" s="1"/>
  <c r="N64" i="73"/>
  <c r="M64" i="73" s="1"/>
  <c r="N80" i="73"/>
  <c r="M80" i="73" s="1"/>
  <c r="N96" i="73"/>
  <c r="M96" i="73" s="1"/>
  <c r="N112" i="73"/>
  <c r="M112" i="73" s="1"/>
  <c r="N128" i="73"/>
  <c r="M128" i="73" s="1"/>
  <c r="N144" i="73"/>
  <c r="M144" i="73" s="1"/>
  <c r="N160" i="73"/>
  <c r="M160" i="73" s="1"/>
  <c r="N176" i="73"/>
  <c r="M176" i="73" s="1"/>
  <c r="N20" i="73"/>
  <c r="M20" i="73" s="1"/>
  <c r="N36" i="73"/>
  <c r="M36" i="73" s="1"/>
  <c r="N52" i="73"/>
  <c r="M52" i="73" s="1"/>
  <c r="N68" i="73"/>
  <c r="M68" i="73" s="1"/>
  <c r="N84" i="73"/>
  <c r="M84" i="73" s="1"/>
  <c r="N100" i="73"/>
  <c r="M100" i="73" s="1"/>
  <c r="N116" i="73"/>
  <c r="M116" i="73" s="1"/>
  <c r="N132" i="73"/>
  <c r="M132" i="73" s="1"/>
  <c r="N148" i="73"/>
  <c r="M148" i="73" s="1"/>
  <c r="N164" i="73"/>
  <c r="M164" i="73" s="1"/>
  <c r="N180" i="73"/>
  <c r="M180" i="73" s="1"/>
  <c r="F357" i="73"/>
  <c r="E357" i="73" s="1"/>
  <c r="F317" i="73"/>
  <c r="E317" i="73" s="1"/>
  <c r="F274" i="73"/>
  <c r="E274" i="73" s="1"/>
  <c r="F231" i="73"/>
  <c r="E231" i="73" s="1"/>
  <c r="F179" i="73"/>
  <c r="E179" i="73" s="1"/>
  <c r="F335" i="73"/>
  <c r="E335" i="73" s="1"/>
  <c r="F293" i="73"/>
  <c r="E293" i="73" s="1"/>
  <c r="F250" i="73"/>
  <c r="E250" i="73" s="1"/>
  <c r="F207" i="73"/>
  <c r="E207" i="73" s="1"/>
  <c r="F107" i="73"/>
  <c r="E107" i="73" s="1"/>
  <c r="F361" i="73"/>
  <c r="E361" i="73" s="1"/>
  <c r="F322" i="73"/>
  <c r="E322" i="73" s="1"/>
  <c r="F279" i="73"/>
  <c r="E279" i="73" s="1"/>
  <c r="F237" i="73"/>
  <c r="E237" i="73" s="1"/>
  <c r="F187" i="73"/>
  <c r="E187" i="73" s="1"/>
  <c r="F33" i="73"/>
  <c r="E33" i="73" s="1"/>
  <c r="F341" i="73"/>
  <c r="E341" i="73" s="1"/>
  <c r="F298" i="73"/>
  <c r="E298" i="73" s="1"/>
  <c r="F255" i="73"/>
  <c r="E255" i="73" s="1"/>
  <c r="F213" i="73"/>
  <c r="E213" i="73" s="1"/>
  <c r="F128" i="73"/>
  <c r="E128" i="73" s="1"/>
  <c r="F356" i="73"/>
  <c r="E356" i="73" s="1"/>
  <c r="F337" i="73"/>
  <c r="E337" i="73" s="1"/>
  <c r="F315" i="73"/>
  <c r="E315" i="73" s="1"/>
  <c r="F294" i="73"/>
  <c r="E294" i="73" s="1"/>
  <c r="F273" i="73"/>
  <c r="E273" i="73" s="1"/>
  <c r="F251" i="73"/>
  <c r="E251" i="73" s="1"/>
  <c r="F230" i="73"/>
  <c r="E230" i="73" s="1"/>
  <c r="F209" i="73"/>
  <c r="E209" i="73" s="1"/>
  <c r="F178" i="73"/>
  <c r="E178" i="73" s="1"/>
  <c r="F112" i="73"/>
  <c r="E112" i="73" s="1"/>
  <c r="F366" i="73"/>
  <c r="E366" i="73" s="1"/>
  <c r="F350" i="73"/>
  <c r="E350" i="73" s="1"/>
  <c r="F329" i="73"/>
  <c r="E329" i="73" s="1"/>
  <c r="F307" i="73"/>
  <c r="E307" i="73" s="1"/>
  <c r="F286" i="73"/>
  <c r="E286" i="73" s="1"/>
  <c r="F265" i="73"/>
  <c r="E265" i="73" s="1"/>
  <c r="F243" i="73"/>
  <c r="E243" i="73" s="1"/>
  <c r="F222" i="73"/>
  <c r="E222" i="73" s="1"/>
  <c r="F198" i="73"/>
  <c r="E198" i="73" s="1"/>
  <c r="F158" i="73"/>
  <c r="E158" i="73" s="1"/>
  <c r="F73" i="73"/>
  <c r="E73" i="73" s="1"/>
  <c r="F205" i="73"/>
  <c r="E205" i="73" s="1"/>
  <c r="F189" i="73"/>
  <c r="E189" i="73" s="1"/>
  <c r="F173" i="73"/>
  <c r="E173" i="73" s="1"/>
  <c r="F157" i="73"/>
  <c r="E157" i="73" s="1"/>
  <c r="F141" i="73"/>
  <c r="E141" i="73" s="1"/>
  <c r="F121" i="73"/>
  <c r="E121" i="73" s="1"/>
  <c r="F100" i="73"/>
  <c r="E100" i="73" s="1"/>
  <c r="F71" i="73"/>
  <c r="E71" i="73" s="1"/>
  <c r="F39" i="73"/>
  <c r="E39" i="73" s="1"/>
  <c r="F336" i="73"/>
  <c r="E336" i="73" s="1"/>
  <c r="F320" i="73"/>
  <c r="E320" i="73" s="1"/>
  <c r="F304" i="73"/>
  <c r="E304" i="73" s="1"/>
  <c r="F288" i="73"/>
  <c r="E288" i="73" s="1"/>
  <c r="F272" i="73"/>
  <c r="E272" i="73" s="1"/>
  <c r="F256" i="73"/>
  <c r="E256" i="73" s="1"/>
  <c r="F240" i="73"/>
  <c r="E240" i="73" s="1"/>
  <c r="F224" i="73"/>
  <c r="E224" i="73" s="1"/>
  <c r="F208" i="73"/>
  <c r="E208" i="73" s="1"/>
  <c r="F192" i="73"/>
  <c r="E192" i="73" s="1"/>
  <c r="F176" i="73"/>
  <c r="E176" i="73" s="1"/>
  <c r="F160" i="73"/>
  <c r="E160" i="73" s="1"/>
  <c r="F144" i="73"/>
  <c r="E144" i="73" s="1"/>
  <c r="F125" i="73"/>
  <c r="E125" i="73" s="1"/>
  <c r="F104" i="73"/>
  <c r="E104" i="73" s="1"/>
  <c r="F77" i="73"/>
  <c r="E77" i="73" s="1"/>
  <c r="F45" i="73"/>
  <c r="E45" i="73" s="1"/>
  <c r="F13" i="73"/>
  <c r="E13" i="73" s="1"/>
  <c r="F167" i="73"/>
  <c r="E167" i="73" s="1"/>
  <c r="F151" i="73"/>
  <c r="E151" i="73" s="1"/>
  <c r="F135" i="73"/>
  <c r="E135" i="73" s="1"/>
  <c r="F113" i="73"/>
  <c r="E113" i="73" s="1"/>
  <c r="F91" i="73"/>
  <c r="E91" i="73" s="1"/>
  <c r="F59" i="73"/>
  <c r="E59" i="73" s="1"/>
  <c r="F27" i="73"/>
  <c r="E27" i="73" s="1"/>
  <c r="F130" i="73"/>
  <c r="E130" i="73" s="1"/>
  <c r="F114" i="73"/>
  <c r="E114" i="73" s="1"/>
  <c r="F98" i="73"/>
  <c r="E98" i="73" s="1"/>
  <c r="F82" i="73"/>
  <c r="E82" i="73" s="1"/>
  <c r="F66" i="73"/>
  <c r="E66" i="73" s="1"/>
  <c r="F50" i="73"/>
  <c r="E50" i="73" s="1"/>
  <c r="F34" i="73"/>
  <c r="E34" i="73" s="1"/>
  <c r="F18" i="73"/>
  <c r="E18" i="73" s="1"/>
  <c r="F84" i="73"/>
  <c r="E84" i="73" s="1"/>
  <c r="F68" i="73"/>
  <c r="E68" i="73" s="1"/>
  <c r="F52" i="73"/>
  <c r="E52" i="73" s="1"/>
  <c r="F36" i="73"/>
  <c r="E36" i="73" s="1"/>
  <c r="F20" i="73"/>
  <c r="E20" i="73" s="1"/>
  <c r="F365" i="73"/>
  <c r="E365" i="73" s="1"/>
  <c r="F327" i="73"/>
  <c r="E327" i="73" s="1"/>
  <c r="F285" i="73"/>
  <c r="E285" i="73" s="1"/>
  <c r="F242" i="73"/>
  <c r="E242" i="73" s="1"/>
  <c r="F195" i="73"/>
  <c r="E195" i="73" s="1"/>
  <c r="F65" i="73"/>
  <c r="E65" i="73" s="1"/>
  <c r="F346" i="73"/>
  <c r="E346" i="73" s="1"/>
  <c r="F303" i="73"/>
  <c r="E303" i="73" s="1"/>
  <c r="F261" i="73"/>
  <c r="E261" i="73" s="1"/>
  <c r="F218" i="73"/>
  <c r="E218" i="73" s="1"/>
  <c r="F146" i="73"/>
  <c r="E146" i="73" s="1"/>
  <c r="F369" i="73"/>
  <c r="E369" i="73" s="1"/>
  <c r="F333" i="73"/>
  <c r="E333" i="73" s="1"/>
  <c r="F290" i="73"/>
  <c r="E290" i="73" s="1"/>
  <c r="F247" i="73"/>
  <c r="E247" i="73" s="1"/>
  <c r="F203" i="73"/>
  <c r="E203" i="73" s="1"/>
  <c r="F96" i="73"/>
  <c r="E96" i="73" s="1"/>
  <c r="F351" i="73"/>
  <c r="E351" i="73" s="1"/>
  <c r="F309" i="73"/>
  <c r="E309" i="73" s="1"/>
  <c r="F266" i="73"/>
  <c r="E266" i="73" s="1"/>
  <c r="F223" i="73"/>
  <c r="E223" i="73" s="1"/>
  <c r="F162" i="73"/>
  <c r="E162" i="73" s="1"/>
  <c r="F360" i="73"/>
  <c r="E360" i="73" s="1"/>
  <c r="F342" i="73"/>
  <c r="E342" i="73" s="1"/>
  <c r="F321" i="73"/>
  <c r="E321" i="73" s="1"/>
  <c r="F299" i="73"/>
  <c r="E299" i="73" s="1"/>
  <c r="F278" i="73"/>
  <c r="E278" i="73" s="1"/>
  <c r="F257" i="73"/>
  <c r="E257" i="73" s="1"/>
  <c r="F235" i="73"/>
  <c r="E235" i="73" s="1"/>
  <c r="F214" i="73"/>
  <c r="E214" i="73" s="1"/>
  <c r="F186" i="73"/>
  <c r="E186" i="73" s="1"/>
  <c r="F133" i="73"/>
  <c r="E133" i="73" s="1"/>
  <c r="F25" i="73"/>
  <c r="E25" i="73" s="1"/>
  <c r="F10" i="73"/>
  <c r="E10" i="73" s="1"/>
  <c r="F354" i="73"/>
  <c r="E354" i="73" s="1"/>
  <c r="F334" i="73"/>
  <c r="E334" i="73" s="1"/>
  <c r="F313" i="73"/>
  <c r="E313" i="73" s="1"/>
  <c r="F291" i="73"/>
  <c r="E291" i="73" s="1"/>
  <c r="F270" i="73"/>
  <c r="E270" i="73" s="1"/>
  <c r="F249" i="73"/>
  <c r="E249" i="73" s="1"/>
  <c r="F227" i="73"/>
  <c r="E227" i="73" s="1"/>
  <c r="F206" i="73"/>
  <c r="E206" i="73" s="1"/>
  <c r="F174" i="73"/>
  <c r="E174" i="73" s="1"/>
  <c r="F101" i="73"/>
  <c r="E101" i="73" s="1"/>
  <c r="F193" i="73"/>
  <c r="E193" i="73" s="1"/>
  <c r="F177" i="73"/>
  <c r="E177" i="73" s="1"/>
  <c r="F161" i="73"/>
  <c r="E161" i="73" s="1"/>
  <c r="F145" i="73"/>
  <c r="E145" i="73" s="1"/>
  <c r="F127" i="73"/>
  <c r="E127" i="73" s="1"/>
  <c r="F105" i="73"/>
  <c r="E105" i="73" s="1"/>
  <c r="F79" i="73"/>
  <c r="E79" i="73" s="1"/>
  <c r="F47" i="73"/>
  <c r="E47" i="73" s="1"/>
  <c r="F15" i="73"/>
  <c r="E15" i="73" s="1"/>
  <c r="F340" i="73"/>
  <c r="E340" i="73" s="1"/>
  <c r="F324" i="73"/>
  <c r="E324" i="73" s="1"/>
  <c r="F308" i="73"/>
  <c r="E308" i="73" s="1"/>
  <c r="F292" i="73"/>
  <c r="E292" i="73" s="1"/>
  <c r="F276" i="73"/>
  <c r="E276" i="73" s="1"/>
  <c r="F260" i="73"/>
  <c r="E260" i="73" s="1"/>
  <c r="F244" i="73"/>
  <c r="E244" i="73" s="1"/>
  <c r="F228" i="73"/>
  <c r="E228" i="73" s="1"/>
  <c r="F212" i="73"/>
  <c r="E212" i="73" s="1"/>
  <c r="F196" i="73"/>
  <c r="E196" i="73" s="1"/>
  <c r="F180" i="73"/>
  <c r="E180" i="73" s="1"/>
  <c r="F164" i="73"/>
  <c r="E164" i="73" s="1"/>
  <c r="F148" i="73"/>
  <c r="E148" i="73" s="1"/>
  <c r="F131" i="73"/>
  <c r="E131" i="73" s="1"/>
  <c r="F109" i="73"/>
  <c r="E109" i="73" s="1"/>
  <c r="F85" i="73"/>
  <c r="E85" i="73" s="1"/>
  <c r="F53" i="73"/>
  <c r="E53" i="73" s="1"/>
  <c r="F21" i="73"/>
  <c r="E21" i="73" s="1"/>
  <c r="F171" i="73"/>
  <c r="E171" i="73" s="1"/>
  <c r="F155" i="73"/>
  <c r="E155" i="73" s="1"/>
  <c r="F139" i="73"/>
  <c r="E139" i="73" s="1"/>
  <c r="F119" i="73"/>
  <c r="E119" i="73" s="1"/>
  <c r="F97" i="73"/>
  <c r="E97" i="73" s="1"/>
  <c r="F67" i="73"/>
  <c r="E67" i="73" s="1"/>
  <c r="F35" i="73"/>
  <c r="E35" i="73" s="1"/>
  <c r="F134" i="73"/>
  <c r="E134" i="73" s="1"/>
  <c r="F118" i="73"/>
  <c r="E118" i="73" s="1"/>
  <c r="F102" i="73"/>
  <c r="E102" i="73" s="1"/>
  <c r="F86" i="73"/>
  <c r="E86" i="73" s="1"/>
  <c r="F70" i="73"/>
  <c r="E70" i="73" s="1"/>
  <c r="F54" i="73"/>
  <c r="E54" i="73" s="1"/>
  <c r="F38" i="73"/>
  <c r="E38" i="73" s="1"/>
  <c r="F22" i="73"/>
  <c r="E22" i="73" s="1"/>
  <c r="F88" i="73"/>
  <c r="E88" i="73" s="1"/>
  <c r="F72" i="73"/>
  <c r="E72" i="73" s="1"/>
  <c r="F56" i="73"/>
  <c r="E56" i="73" s="1"/>
  <c r="F40" i="73"/>
  <c r="E40" i="73" s="1"/>
  <c r="F24" i="73"/>
  <c r="E24" i="73" s="1"/>
  <c r="E48" i="73"/>
  <c r="E11" i="73"/>
  <c r="D59" i="3"/>
  <c r="D57" i="3"/>
  <c r="D55" i="3"/>
  <c r="D56" i="3"/>
  <c r="K23" i="73" l="1"/>
  <c r="K24" i="73" s="1"/>
  <c r="K25" i="73" s="1"/>
  <c r="K26" i="73" s="1"/>
  <c r="K27" i="73" s="1"/>
  <c r="K28" i="73" s="1"/>
  <c r="K29" i="73" s="1"/>
  <c r="K30" i="73" s="1"/>
  <c r="K31" i="73" s="1"/>
  <c r="K32" i="73" s="1"/>
  <c r="K33" i="73" s="1"/>
  <c r="K34" i="73" s="1"/>
  <c r="O34" i="73" s="1"/>
  <c r="T4" i="73" s="1"/>
  <c r="O22" i="73"/>
  <c r="T3" i="73" s="1"/>
  <c r="C23" i="73"/>
  <c r="C24" i="73" s="1"/>
  <c r="C25" i="73" s="1"/>
  <c r="C26" i="73" s="1"/>
  <c r="C27" i="73" s="1"/>
  <c r="C28" i="73" s="1"/>
  <c r="C29" i="73" s="1"/>
  <c r="C30" i="73" s="1"/>
  <c r="C31" i="73" s="1"/>
  <c r="C32" i="73" s="1"/>
  <c r="C33" i="73" s="1"/>
  <c r="C34" i="73" s="1"/>
  <c r="K6" i="73"/>
  <c r="C6" i="73"/>
  <c r="C26" i="5"/>
  <c r="K35" i="73" l="1"/>
  <c r="K36" i="73" s="1"/>
  <c r="K37" i="73" s="1"/>
  <c r="K38" i="73" s="1"/>
  <c r="K39" i="73" s="1"/>
  <c r="K40" i="73" s="1"/>
  <c r="K41" i="73" s="1"/>
  <c r="K42" i="73" s="1"/>
  <c r="K43" i="73" s="1"/>
  <c r="K44" i="73" s="1"/>
  <c r="K45" i="73" s="1"/>
  <c r="K46" i="73" s="1"/>
  <c r="O46" i="73" s="1"/>
  <c r="T5" i="73" s="1"/>
  <c r="G22" i="73"/>
  <c r="S3" i="73" s="1"/>
  <c r="U3" i="73" s="1"/>
  <c r="C35" i="73"/>
  <c r="C36" i="73" s="1"/>
  <c r="C37" i="73" s="1"/>
  <c r="C38" i="73" s="1"/>
  <c r="C39" i="73" s="1"/>
  <c r="C40" i="73" s="1"/>
  <c r="C41" i="73" s="1"/>
  <c r="C42" i="73" s="1"/>
  <c r="C43" i="73" s="1"/>
  <c r="C44" i="73" s="1"/>
  <c r="C45" i="73" s="1"/>
  <c r="C46" i="73" s="1"/>
  <c r="K47" i="73" l="1"/>
  <c r="K48" i="73" s="1"/>
  <c r="K49" i="73" s="1"/>
  <c r="K50" i="73" s="1"/>
  <c r="K51" i="73" s="1"/>
  <c r="K52" i="73" s="1"/>
  <c r="K53" i="73" s="1"/>
  <c r="K54" i="73" s="1"/>
  <c r="K55" i="73" s="1"/>
  <c r="K56" i="73" s="1"/>
  <c r="K57" i="73" s="1"/>
  <c r="K58" i="73" s="1"/>
  <c r="O58" i="73" s="1"/>
  <c r="T6" i="73" s="1"/>
  <c r="G34" i="73"/>
  <c r="S4" i="73" s="1"/>
  <c r="U4" i="73" s="1"/>
  <c r="C47" i="73"/>
  <c r="C48" i="73" s="1"/>
  <c r="C49" i="73" s="1"/>
  <c r="C50" i="73" s="1"/>
  <c r="C51" i="73" s="1"/>
  <c r="C52" i="73" s="1"/>
  <c r="C53" i="73" s="1"/>
  <c r="C54" i="73" s="1"/>
  <c r="C55" i="73" s="1"/>
  <c r="C56" i="73" s="1"/>
  <c r="C57" i="73" s="1"/>
  <c r="C58" i="73" s="1"/>
  <c r="K59" i="73" l="1"/>
  <c r="K60" i="73" s="1"/>
  <c r="K61" i="73" s="1"/>
  <c r="K62" i="73" s="1"/>
  <c r="K63" i="73" s="1"/>
  <c r="K64" i="73" s="1"/>
  <c r="K65" i="73" s="1"/>
  <c r="K66" i="73" s="1"/>
  <c r="K67" i="73" s="1"/>
  <c r="K68" i="73" s="1"/>
  <c r="K69" i="73" s="1"/>
  <c r="K70" i="73" s="1"/>
  <c r="O70" i="73" s="1"/>
  <c r="T7" i="73" s="1"/>
  <c r="G46" i="73"/>
  <c r="S5" i="73" s="1"/>
  <c r="U5" i="73" s="1"/>
  <c r="C59" i="73"/>
  <c r="C60" i="73" s="1"/>
  <c r="C61" i="73" s="1"/>
  <c r="C62" i="73" s="1"/>
  <c r="C63" i="73" s="1"/>
  <c r="C64" i="73" s="1"/>
  <c r="C65" i="73" s="1"/>
  <c r="C66" i="73" s="1"/>
  <c r="C67" i="73" s="1"/>
  <c r="C68" i="73" s="1"/>
  <c r="C69" i="73" s="1"/>
  <c r="C70" i="73" s="1"/>
  <c r="C30" i="20"/>
  <c r="D79" i="3"/>
  <c r="D78" i="3" s="1"/>
  <c r="D70" i="3"/>
  <c r="Q72" i="3"/>
  <c r="Q71" i="3"/>
  <c r="Q70" i="3"/>
  <c r="Q69" i="3"/>
  <c r="Q68" i="3"/>
  <c r="Q67" i="3"/>
  <c r="Q66" i="3"/>
  <c r="P72" i="3"/>
  <c r="P71" i="3"/>
  <c r="P70" i="3"/>
  <c r="P69" i="3"/>
  <c r="P68" i="3"/>
  <c r="P67" i="3"/>
  <c r="P66" i="3"/>
  <c r="O72" i="3"/>
  <c r="O71" i="3"/>
  <c r="O70" i="3"/>
  <c r="O69" i="3"/>
  <c r="O68" i="3"/>
  <c r="O67" i="3"/>
  <c r="O66" i="3"/>
  <c r="N72" i="3"/>
  <c r="N71" i="3"/>
  <c r="N70" i="3"/>
  <c r="N69" i="3"/>
  <c r="N68" i="3"/>
  <c r="N67" i="3"/>
  <c r="N66" i="3"/>
  <c r="Q65" i="3"/>
  <c r="Q73" i="3" l="1"/>
  <c r="D77" i="3"/>
  <c r="K71" i="73"/>
  <c r="K72" i="73" s="1"/>
  <c r="K73" i="73" s="1"/>
  <c r="K74" i="73" s="1"/>
  <c r="K75" i="73" s="1"/>
  <c r="K76" i="73" s="1"/>
  <c r="K77" i="73" s="1"/>
  <c r="K78" i="73" s="1"/>
  <c r="K79" i="73" s="1"/>
  <c r="K80" i="73" s="1"/>
  <c r="K81" i="73" s="1"/>
  <c r="K82" i="73" s="1"/>
  <c r="O82" i="73" s="1"/>
  <c r="T8" i="73" s="1"/>
  <c r="D69" i="3"/>
  <c r="G58" i="73"/>
  <c r="S6" i="73" s="1"/>
  <c r="U6" i="73" s="1"/>
  <c r="C71" i="73"/>
  <c r="C72" i="73" s="1"/>
  <c r="C73" i="73" s="1"/>
  <c r="C74" i="73" s="1"/>
  <c r="C75" i="73" s="1"/>
  <c r="C76" i="73" s="1"/>
  <c r="C77" i="73" s="1"/>
  <c r="C78" i="73" s="1"/>
  <c r="C79" i="73" s="1"/>
  <c r="C80" i="73" s="1"/>
  <c r="C81" i="73" s="1"/>
  <c r="C82" i="73" s="1"/>
  <c r="M72" i="3"/>
  <c r="M71" i="3"/>
  <c r="M70" i="3"/>
  <c r="M69" i="3"/>
  <c r="M68" i="3"/>
  <c r="M67" i="3"/>
  <c r="M66" i="3"/>
  <c r="P65" i="3"/>
  <c r="O65" i="3"/>
  <c r="N65" i="3"/>
  <c r="M65" i="3"/>
  <c r="C45" i="3"/>
  <c r="C242" i="16"/>
  <c r="C241" i="16"/>
  <c r="C244" i="16" s="1"/>
  <c r="D52" i="3"/>
  <c r="D51" i="3"/>
  <c r="E181" i="16"/>
  <c r="D181" i="16"/>
  <c r="C181" i="16"/>
  <c r="P73" i="3" l="1"/>
  <c r="N73" i="3"/>
  <c r="I315" i="3"/>
  <c r="O73" i="3"/>
  <c r="C212" i="16"/>
  <c r="I58" i="3"/>
  <c r="F181" i="16"/>
  <c r="E182" i="16" s="1"/>
  <c r="K83" i="73"/>
  <c r="K84" i="73" s="1"/>
  <c r="K85" i="73" s="1"/>
  <c r="K86" i="73" s="1"/>
  <c r="K87" i="73" s="1"/>
  <c r="K88" i="73" s="1"/>
  <c r="K89" i="73" s="1"/>
  <c r="K90" i="73" s="1"/>
  <c r="K91" i="73" s="1"/>
  <c r="K92" i="73" s="1"/>
  <c r="K93" i="73" s="1"/>
  <c r="K94" i="73" s="1"/>
  <c r="O94" i="73" s="1"/>
  <c r="T9" i="73" s="1"/>
  <c r="E49" i="3"/>
  <c r="D68" i="3"/>
  <c r="D59" i="5"/>
  <c r="M73" i="3"/>
  <c r="D76" i="3"/>
  <c r="G70" i="73"/>
  <c r="S7" i="73" s="1"/>
  <c r="U7" i="73" s="1"/>
  <c r="C83" i="73"/>
  <c r="C84" i="73" s="1"/>
  <c r="C85" i="73" s="1"/>
  <c r="C86" i="73" s="1"/>
  <c r="C87" i="73" s="1"/>
  <c r="C88" i="73" s="1"/>
  <c r="C89" i="73" s="1"/>
  <c r="C90" i="73" s="1"/>
  <c r="C91" i="73" s="1"/>
  <c r="C92" i="73" s="1"/>
  <c r="C93" i="73" s="1"/>
  <c r="C94" i="73" s="1"/>
  <c r="R73" i="3" l="1"/>
  <c r="C182" i="16"/>
  <c r="D182" i="16"/>
  <c r="K95" i="73"/>
  <c r="K96" i="73" s="1"/>
  <c r="K97" i="73" s="1"/>
  <c r="K98" i="73" s="1"/>
  <c r="K99" i="73" s="1"/>
  <c r="K100" i="73" s="1"/>
  <c r="K101" i="73" s="1"/>
  <c r="K102" i="73" s="1"/>
  <c r="K103" i="73" s="1"/>
  <c r="K104" i="73" s="1"/>
  <c r="K105" i="73" s="1"/>
  <c r="K106" i="73" s="1"/>
  <c r="O106" i="73" s="1"/>
  <c r="T10" i="73" s="1"/>
  <c r="D67" i="3"/>
  <c r="D75" i="3"/>
  <c r="G82" i="73"/>
  <c r="S8" i="73" s="1"/>
  <c r="U8" i="73" s="1"/>
  <c r="C95" i="73"/>
  <c r="C96" i="73" s="1"/>
  <c r="C97" i="73" s="1"/>
  <c r="C98" i="73" s="1"/>
  <c r="C99" i="73" s="1"/>
  <c r="C100" i="73" s="1"/>
  <c r="C101" i="73" s="1"/>
  <c r="C102" i="73" s="1"/>
  <c r="C103" i="73" s="1"/>
  <c r="C104" i="73" s="1"/>
  <c r="C105" i="73" s="1"/>
  <c r="C106" i="73" s="1"/>
  <c r="K107" i="73" l="1"/>
  <c r="K108" i="73" s="1"/>
  <c r="K109" i="73" s="1"/>
  <c r="K110" i="73" s="1"/>
  <c r="K111" i="73" s="1"/>
  <c r="K112" i="73" s="1"/>
  <c r="K113" i="73" s="1"/>
  <c r="K114" i="73" s="1"/>
  <c r="K115" i="73" s="1"/>
  <c r="K116" i="73" s="1"/>
  <c r="K117" i="73" s="1"/>
  <c r="K118" i="73" s="1"/>
  <c r="O118" i="73" s="1"/>
  <c r="T11" i="73" s="1"/>
  <c r="D66" i="3"/>
  <c r="D60" i="5"/>
  <c r="D74" i="3"/>
  <c r="G94" i="73"/>
  <c r="S9" i="73" s="1"/>
  <c r="U9" i="73" s="1"/>
  <c r="C107" i="73"/>
  <c r="C108" i="73" s="1"/>
  <c r="C109" i="73" s="1"/>
  <c r="C110" i="73" s="1"/>
  <c r="C111" i="73" s="1"/>
  <c r="C112" i="73" s="1"/>
  <c r="C113" i="73" s="1"/>
  <c r="C114" i="73" s="1"/>
  <c r="C115" i="73" s="1"/>
  <c r="C116" i="73" s="1"/>
  <c r="C117" i="73" s="1"/>
  <c r="C118" i="73" s="1"/>
  <c r="K119" i="73" l="1"/>
  <c r="K120" i="73" s="1"/>
  <c r="K121" i="73" s="1"/>
  <c r="K122" i="73" s="1"/>
  <c r="K123" i="73" s="1"/>
  <c r="K124" i="73" s="1"/>
  <c r="K125" i="73" s="1"/>
  <c r="K126" i="73" s="1"/>
  <c r="K127" i="73" s="1"/>
  <c r="K128" i="73" s="1"/>
  <c r="K129" i="73" s="1"/>
  <c r="K130" i="73" s="1"/>
  <c r="O130" i="73" s="1"/>
  <c r="T12" i="73" s="1"/>
  <c r="D73" i="3"/>
  <c r="D65" i="3"/>
  <c r="D61" i="5"/>
  <c r="G106" i="73"/>
  <c r="S10" i="73" s="1"/>
  <c r="U10" i="73" s="1"/>
  <c r="C119" i="73"/>
  <c r="C120" i="73" s="1"/>
  <c r="C121" i="73" s="1"/>
  <c r="C122" i="73" s="1"/>
  <c r="C123" i="73" s="1"/>
  <c r="C124" i="73" s="1"/>
  <c r="C125" i="73" s="1"/>
  <c r="C126" i="73" s="1"/>
  <c r="C127" i="73" s="1"/>
  <c r="C128" i="73" s="1"/>
  <c r="C129" i="73" s="1"/>
  <c r="C130" i="73" s="1"/>
  <c r="C3" i="51"/>
  <c r="C200" i="51"/>
  <c r="C206" i="51"/>
  <c r="C203" i="51"/>
  <c r="C93" i="51"/>
  <c r="C33" i="51"/>
  <c r="K131" i="73" l="1"/>
  <c r="K132" i="73" s="1"/>
  <c r="K133" i="73" s="1"/>
  <c r="K134" i="73" s="1"/>
  <c r="K135" i="73" s="1"/>
  <c r="K136" i="73" s="1"/>
  <c r="K137" i="73" s="1"/>
  <c r="K138" i="73" s="1"/>
  <c r="K139" i="73" s="1"/>
  <c r="K140" i="73" s="1"/>
  <c r="K141" i="73" s="1"/>
  <c r="K142" i="73" s="1"/>
  <c r="O142" i="73" s="1"/>
  <c r="T13" i="73" s="1"/>
  <c r="D64" i="3"/>
  <c r="G118" i="73"/>
  <c r="S11" i="73" s="1"/>
  <c r="U11" i="73" s="1"/>
  <c r="C131" i="73"/>
  <c r="C132" i="73" s="1"/>
  <c r="C133" i="73" s="1"/>
  <c r="C134" i="73" s="1"/>
  <c r="C135" i="73" s="1"/>
  <c r="C136" i="73" s="1"/>
  <c r="C137" i="73" s="1"/>
  <c r="C138" i="73" s="1"/>
  <c r="C139" i="73" s="1"/>
  <c r="C140" i="73" s="1"/>
  <c r="C141" i="73" s="1"/>
  <c r="C142" i="73" s="1"/>
  <c r="G130" i="73"/>
  <c r="S12" i="73" s="1"/>
  <c r="U12" i="73" s="1"/>
  <c r="I228" i="2"/>
  <c r="I229" i="2"/>
  <c r="I230" i="2"/>
  <c r="I231" i="2"/>
  <c r="I232" i="2"/>
  <c r="I233" i="2"/>
  <c r="I234" i="2"/>
  <c r="I235" i="2"/>
  <c r="I236" i="2"/>
  <c r="I237" i="2"/>
  <c r="I238" i="2"/>
  <c r="I239" i="2"/>
  <c r="I240" i="2"/>
  <c r="I241" i="2"/>
  <c r="I242" i="2"/>
  <c r="K143" i="73" l="1"/>
  <c r="K144" i="73" s="1"/>
  <c r="K145" i="73" s="1"/>
  <c r="K146" i="73" s="1"/>
  <c r="K147" i="73" s="1"/>
  <c r="K148" i="73" s="1"/>
  <c r="K149" i="73" s="1"/>
  <c r="K150" i="73" s="1"/>
  <c r="K151" i="73" s="1"/>
  <c r="K152" i="73" s="1"/>
  <c r="K153" i="73" s="1"/>
  <c r="K154" i="73" s="1"/>
  <c r="O154" i="73" s="1"/>
  <c r="T14" i="73" s="1"/>
  <c r="D62" i="5"/>
  <c r="C143" i="73"/>
  <c r="C144" i="73" s="1"/>
  <c r="C145" i="73" s="1"/>
  <c r="C146" i="73" s="1"/>
  <c r="C147" i="73" s="1"/>
  <c r="C148" i="73" s="1"/>
  <c r="C149" i="73" s="1"/>
  <c r="C150" i="73" s="1"/>
  <c r="C151" i="73" s="1"/>
  <c r="C152" i="73" s="1"/>
  <c r="C153" i="73" s="1"/>
  <c r="C154" i="73" s="1"/>
  <c r="K155" i="73" l="1"/>
  <c r="K156" i="73" s="1"/>
  <c r="K157" i="73" s="1"/>
  <c r="K158" i="73" s="1"/>
  <c r="K159" i="73" s="1"/>
  <c r="K160" i="73" s="1"/>
  <c r="K161" i="73" s="1"/>
  <c r="K162" i="73" s="1"/>
  <c r="K163" i="73" s="1"/>
  <c r="K164" i="73" s="1"/>
  <c r="K165" i="73" s="1"/>
  <c r="K166" i="73" s="1"/>
  <c r="O166" i="73" s="1"/>
  <c r="T15" i="73" s="1"/>
  <c r="G142" i="73"/>
  <c r="S13" i="73" s="1"/>
  <c r="U13" i="73" s="1"/>
  <c r="C155" i="73"/>
  <c r="C156" i="73" s="1"/>
  <c r="C157" i="73" s="1"/>
  <c r="C158" i="73" s="1"/>
  <c r="C159" i="73" s="1"/>
  <c r="C160" i="73" s="1"/>
  <c r="C161" i="73" s="1"/>
  <c r="C162" i="73" s="1"/>
  <c r="C163" i="73" s="1"/>
  <c r="C164" i="73" s="1"/>
  <c r="C165" i="73" s="1"/>
  <c r="C166" i="73" s="1"/>
  <c r="C243" i="16"/>
  <c r="K167" i="73" l="1"/>
  <c r="K168" i="73" s="1"/>
  <c r="K169" i="73" s="1"/>
  <c r="K170" i="73" s="1"/>
  <c r="K171" i="73" s="1"/>
  <c r="K172" i="73" s="1"/>
  <c r="K173" i="73" s="1"/>
  <c r="K174" i="73" s="1"/>
  <c r="K175" i="73" s="1"/>
  <c r="K176" i="73" s="1"/>
  <c r="K177" i="73" s="1"/>
  <c r="K178" i="73" s="1"/>
  <c r="O178" i="73" s="1"/>
  <c r="T16" i="73" s="1"/>
  <c r="G154" i="73"/>
  <c r="S14" i="73" s="1"/>
  <c r="U14" i="73" s="1"/>
  <c r="C167" i="73"/>
  <c r="C168" i="73" s="1"/>
  <c r="C169" i="73" s="1"/>
  <c r="C170" i="73" s="1"/>
  <c r="C171" i="73" s="1"/>
  <c r="C172" i="73" s="1"/>
  <c r="C173" i="73" s="1"/>
  <c r="C174" i="73" s="1"/>
  <c r="C175" i="73" s="1"/>
  <c r="C176" i="73" s="1"/>
  <c r="C177" i="73" s="1"/>
  <c r="C178" i="73" s="1"/>
  <c r="K179" i="73" l="1"/>
  <c r="K180" i="73" s="1"/>
  <c r="K181" i="73" s="1"/>
  <c r="K182" i="73" s="1"/>
  <c r="K183" i="73" s="1"/>
  <c r="K184" i="73" s="1"/>
  <c r="K185" i="73" s="1"/>
  <c r="K186" i="73" s="1"/>
  <c r="K187" i="73" s="1"/>
  <c r="K188" i="73" s="1"/>
  <c r="K189" i="73" s="1"/>
  <c r="G166" i="73"/>
  <c r="S15" i="73" s="1"/>
  <c r="U15" i="73" s="1"/>
  <c r="C179" i="73"/>
  <c r="C180" i="73" s="1"/>
  <c r="C181" i="73" s="1"/>
  <c r="C182" i="73" s="1"/>
  <c r="C183" i="73" s="1"/>
  <c r="C184" i="73" s="1"/>
  <c r="C185" i="73" s="1"/>
  <c r="C186" i="73" s="1"/>
  <c r="C187" i="73" s="1"/>
  <c r="C188" i="73" s="1"/>
  <c r="C189" i="73" s="1"/>
  <c r="C190" i="73" s="1"/>
  <c r="G178" i="73" l="1"/>
  <c r="S16" i="73" s="1"/>
  <c r="U16" i="73" s="1"/>
  <c r="C191" i="73"/>
  <c r="C192" i="73" s="1"/>
  <c r="C193" i="73" s="1"/>
  <c r="C194" i="73" s="1"/>
  <c r="C195" i="73" s="1"/>
  <c r="C196" i="73" s="1"/>
  <c r="C197" i="73" s="1"/>
  <c r="C198" i="73" s="1"/>
  <c r="C199" i="73" s="1"/>
  <c r="C200" i="73" s="1"/>
  <c r="C201" i="73" s="1"/>
  <c r="C202" i="73" s="1"/>
  <c r="G190" i="73" l="1"/>
  <c r="S17" i="73" s="1"/>
  <c r="U17" i="73" s="1"/>
  <c r="C203" i="73"/>
  <c r="C204" i="73" s="1"/>
  <c r="C205" i="73" s="1"/>
  <c r="C206" i="73" s="1"/>
  <c r="C207" i="73" s="1"/>
  <c r="C208" i="73" s="1"/>
  <c r="C209" i="73" s="1"/>
  <c r="C210" i="73" s="1"/>
  <c r="C211" i="73" s="1"/>
  <c r="C212" i="73" s="1"/>
  <c r="C213" i="73" s="1"/>
  <c r="C214" i="73" l="1"/>
  <c r="C215" i="73" s="1"/>
  <c r="C216" i="73" s="1"/>
  <c r="C217" i="73" s="1"/>
  <c r="C218" i="73" s="1"/>
  <c r="C219" i="73" s="1"/>
  <c r="C220" i="73" s="1"/>
  <c r="C221" i="73" s="1"/>
  <c r="C222" i="73" s="1"/>
  <c r="C223" i="73" s="1"/>
  <c r="C224" i="73" s="1"/>
  <c r="C225" i="73" s="1"/>
  <c r="C226" i="73" s="1"/>
  <c r="C227" i="73" s="1"/>
  <c r="C228" i="73" s="1"/>
  <c r="C229" i="73" s="1"/>
  <c r="C230" i="73" s="1"/>
  <c r="C231" i="73" s="1"/>
  <c r="C232" i="73" s="1"/>
  <c r="C233" i="73" s="1"/>
  <c r="C234" i="73" s="1"/>
  <c r="C235" i="73" s="1"/>
  <c r="C236" i="73" s="1"/>
  <c r="C237" i="73" s="1"/>
  <c r="C238" i="73" s="1"/>
  <c r="C239" i="73" s="1"/>
  <c r="C240" i="73" s="1"/>
  <c r="C241" i="73" s="1"/>
  <c r="C242" i="73" s="1"/>
  <c r="C243" i="73" s="1"/>
  <c r="C244" i="73" s="1"/>
  <c r="C245" i="73" s="1"/>
  <c r="C246" i="73" s="1"/>
  <c r="C247" i="73" s="1"/>
  <c r="C248" i="73" s="1"/>
  <c r="C249" i="73" s="1"/>
  <c r="C250" i="73" s="1"/>
  <c r="C251" i="73" s="1"/>
  <c r="C252" i="73" s="1"/>
  <c r="C253" i="73" s="1"/>
  <c r="C254" i="73" s="1"/>
  <c r="C255" i="73" s="1"/>
  <c r="C256" i="73" s="1"/>
  <c r="C257" i="73" s="1"/>
  <c r="C258" i="73" s="1"/>
  <c r="C259" i="73" s="1"/>
  <c r="C260" i="73" s="1"/>
  <c r="C261" i="73" s="1"/>
  <c r="C262" i="73" s="1"/>
  <c r="C263" i="73" s="1"/>
  <c r="C264" i="73" s="1"/>
  <c r="C265" i="73" s="1"/>
  <c r="C266" i="73" s="1"/>
  <c r="C267" i="73" s="1"/>
  <c r="C268" i="73" s="1"/>
  <c r="C269" i="73" s="1"/>
  <c r="C270" i="73" s="1"/>
  <c r="C271" i="73" s="1"/>
  <c r="C272" i="73" s="1"/>
  <c r="C273" i="73" s="1"/>
  <c r="C274" i="73" s="1"/>
  <c r="C275" i="73" s="1"/>
  <c r="C276" i="73" s="1"/>
  <c r="C277" i="73" s="1"/>
  <c r="C278" i="73" s="1"/>
  <c r="C279" i="73" s="1"/>
  <c r="C280" i="73" s="1"/>
  <c r="C281" i="73" s="1"/>
  <c r="C282" i="73" s="1"/>
  <c r="C283" i="73" s="1"/>
  <c r="C284" i="73" s="1"/>
  <c r="C285" i="73" s="1"/>
  <c r="C286" i="73" s="1"/>
  <c r="C287" i="73" s="1"/>
  <c r="C288" i="73" s="1"/>
  <c r="C289" i="73" s="1"/>
  <c r="C290" i="73" s="1"/>
  <c r="C291" i="73" s="1"/>
  <c r="C292" i="73" s="1"/>
  <c r="C293" i="73" s="1"/>
  <c r="C294" i="73" s="1"/>
  <c r="C295" i="73" s="1"/>
  <c r="C296" i="73" s="1"/>
  <c r="C297" i="73" s="1"/>
  <c r="C298" i="73" s="1"/>
  <c r="C299" i="73" s="1"/>
  <c r="C300" i="73" s="1"/>
  <c r="C301" i="73" s="1"/>
  <c r="C302" i="73" s="1"/>
  <c r="C303" i="73" s="1"/>
  <c r="C304" i="73" s="1"/>
  <c r="C305" i="73" s="1"/>
  <c r="C306" i="73" s="1"/>
  <c r="C307" i="73" s="1"/>
  <c r="C308" i="73" s="1"/>
  <c r="C309" i="73" s="1"/>
  <c r="C310" i="73" s="1"/>
  <c r="C311" i="73" s="1"/>
  <c r="C312" i="73" s="1"/>
  <c r="C313" i="73" s="1"/>
  <c r="C314" i="73" s="1"/>
  <c r="C315" i="73" s="1"/>
  <c r="C316" i="73" s="1"/>
  <c r="C317" i="73" s="1"/>
  <c r="C318" i="73" s="1"/>
  <c r="C319" i="73" s="1"/>
  <c r="C320" i="73" s="1"/>
  <c r="C321" i="73" s="1"/>
  <c r="C322" i="73" s="1"/>
  <c r="C323" i="73" s="1"/>
  <c r="C324" i="73" s="1"/>
  <c r="C325" i="73" s="1"/>
  <c r="C326" i="73" s="1"/>
  <c r="C327" i="73" s="1"/>
  <c r="C328" i="73" s="1"/>
  <c r="C329" i="73" s="1"/>
  <c r="C330" i="73" s="1"/>
  <c r="C331" i="73" s="1"/>
  <c r="C332" i="73" s="1"/>
  <c r="C333" i="73" s="1"/>
  <c r="C334" i="73" s="1"/>
  <c r="C335" i="73" s="1"/>
  <c r="C336" i="73" s="1"/>
  <c r="C337" i="73" s="1"/>
  <c r="C338" i="73" s="1"/>
  <c r="C339" i="73" s="1"/>
  <c r="C340" i="73" s="1"/>
  <c r="C341" i="73" s="1"/>
  <c r="C342" i="73" s="1"/>
  <c r="C343" i="73" s="1"/>
  <c r="C344" i="73" s="1"/>
  <c r="C345" i="73" s="1"/>
  <c r="C346" i="73" s="1"/>
  <c r="C347" i="73" s="1"/>
  <c r="C348" i="73" s="1"/>
  <c r="C349" i="73" s="1"/>
  <c r="C350" i="73" s="1"/>
  <c r="C351" i="73" s="1"/>
  <c r="C352" i="73" s="1"/>
  <c r="C353" i="73" s="1"/>
  <c r="C354" i="73" s="1"/>
  <c r="C355" i="73" s="1"/>
  <c r="C356" i="73" s="1"/>
  <c r="C357" i="73" s="1"/>
  <c r="C358" i="73" s="1"/>
  <c r="C359" i="73" s="1"/>
  <c r="C360" i="73" s="1"/>
  <c r="C361" i="73" s="1"/>
  <c r="C362" i="73" s="1"/>
  <c r="C363" i="73" s="1"/>
  <c r="C364" i="73" s="1"/>
  <c r="C365" i="73" s="1"/>
  <c r="C366" i="73" s="1"/>
  <c r="C367" i="73" s="1"/>
  <c r="C368" i="73" s="1"/>
  <c r="C369" i="73" s="1"/>
  <c r="C5" i="73"/>
  <c r="G202" i="73"/>
  <c r="S18" i="73" s="1"/>
  <c r="U18" i="73" s="1"/>
  <c r="C102" i="8" s="1" a="1"/>
  <c r="H102" i="8" s="1"/>
  <c r="N102" i="8" l="1"/>
  <c r="L102" i="8"/>
  <c r="Q102" i="8"/>
  <c r="E102" i="8"/>
  <c r="S102" i="8"/>
  <c r="R102" i="8"/>
  <c r="J102" i="8"/>
  <c r="F102" i="8"/>
  <c r="C102" i="8"/>
  <c r="M102" i="8"/>
  <c r="I102" i="8"/>
  <c r="P102" i="8"/>
  <c r="K102" i="8"/>
  <c r="D102" i="8"/>
  <c r="O102" i="8"/>
  <c r="G102" i="8"/>
  <c r="C63" i="51"/>
  <c r="C64" i="51"/>
  <c r="C62" i="51"/>
  <c r="C61" i="51"/>
  <c r="C60" i="51"/>
  <c r="C59" i="51"/>
  <c r="C58" i="51"/>
  <c r="C57" i="51"/>
  <c r="C49" i="51"/>
  <c r="C48" i="51"/>
  <c r="C47" i="51"/>
  <c r="C46" i="51"/>
  <c r="C88" i="51"/>
  <c r="C40" i="51"/>
  <c r="C41" i="51"/>
  <c r="C75" i="51"/>
  <c r="C76" i="51"/>
  <c r="C77" i="51"/>
  <c r="C39" i="51"/>
  <c r="C28" i="51"/>
  <c r="C29" i="51"/>
  <c r="C30" i="51"/>
  <c r="C31" i="51"/>
  <c r="C32" i="51"/>
  <c r="C27" i="51"/>
  <c r="C26" i="51"/>
  <c r="C24" i="51"/>
  <c r="C25" i="51"/>
  <c r="C22" i="51"/>
  <c r="C16" i="51"/>
  <c r="C19" i="51"/>
  <c r="B3" i="12"/>
  <c r="B3" i="56"/>
  <c r="C3" i="11"/>
  <c r="C3" i="7"/>
  <c r="B3" i="21"/>
  <c r="B3" i="37"/>
  <c r="B3" i="10"/>
  <c r="C3" i="2"/>
  <c r="B3" i="8"/>
  <c r="B3" i="5"/>
  <c r="C3" i="3"/>
  <c r="B3" i="16"/>
  <c r="C3" i="9"/>
  <c r="C7" i="20"/>
  <c r="C74" i="51" l="1"/>
  <c r="H17" i="20" l="1"/>
  <c r="H16" i="20"/>
  <c r="H15" i="20"/>
  <c r="H14" i="20"/>
  <c r="H13" i="20"/>
  <c r="C35" i="20"/>
  <c r="C23" i="51"/>
  <c r="I11" i="9"/>
  <c r="E35" i="16" l="1"/>
  <c r="E34" i="16"/>
  <c r="D12" i="9"/>
  <c r="D11" i="9"/>
  <c r="C11" i="20"/>
  <c r="H10" i="20"/>
  <c r="H8" i="20"/>
  <c r="C20" i="51" l="1"/>
  <c r="D53" i="3"/>
  <c r="C89" i="51" l="1"/>
  <c r="C17" i="51"/>
  <c r="C17" i="37" l="1"/>
  <c r="C9" i="8"/>
  <c r="C7" i="8"/>
  <c r="G25" i="5"/>
  <c r="H419" i="3"/>
  <c r="E19" i="16" l="1"/>
  <c r="D61" i="3" l="1"/>
  <c r="D60" i="3"/>
  <c r="D58" i="3"/>
  <c r="D50" i="3"/>
  <c r="E177" i="16"/>
  <c r="E176" i="16"/>
  <c r="F58" i="3" l="1"/>
  <c r="C95" i="51"/>
  <c r="F60" i="3"/>
  <c r="C97" i="51"/>
  <c r="F57" i="3"/>
  <c r="F55" i="3"/>
  <c r="F61" i="3"/>
  <c r="F59" i="3"/>
  <c r="F56" i="3"/>
  <c r="F79" i="3"/>
  <c r="F78" i="3"/>
  <c r="F70" i="3"/>
  <c r="C245" i="16"/>
  <c r="I59" i="3"/>
  <c r="F69" i="3"/>
  <c r="F77" i="3"/>
  <c r="F68" i="3"/>
  <c r="F76" i="3"/>
  <c r="F67" i="3"/>
  <c r="F75" i="3"/>
  <c r="F74" i="3"/>
  <c r="F66" i="3"/>
  <c r="I53" i="3"/>
  <c r="I52" i="3" s="1"/>
  <c r="F65" i="3"/>
  <c r="F73" i="3"/>
  <c r="F64" i="3"/>
  <c r="C23" i="20"/>
  <c r="F53" i="3"/>
  <c r="C96" i="51"/>
  <c r="C108" i="51"/>
  <c r="C92" i="51"/>
  <c r="C109" i="51"/>
  <c r="C110" i="51"/>
  <c r="C107" i="51"/>
  <c r="C111" i="51"/>
  <c r="C106" i="51"/>
  <c r="C112" i="51"/>
  <c r="C94" i="51"/>
  <c r="E178" i="16"/>
  <c r="E64" i="5" l="1"/>
  <c r="E65" i="5" l="1"/>
  <c r="C84" i="51"/>
  <c r="E66" i="5" l="1"/>
  <c r="E67" i="5" l="1"/>
  <c r="D10" i="9" l="1"/>
  <c r="F130" i="3" l="1"/>
  <c r="C320" i="51" s="1"/>
  <c r="J203" i="3"/>
  <c r="J64" i="8"/>
  <c r="J65" i="8"/>
  <c r="J66" i="8"/>
  <c r="J67" i="8"/>
  <c r="J68" i="8"/>
  <c r="J69" i="8"/>
  <c r="J70" i="8"/>
  <c r="J71" i="8"/>
  <c r="J72" i="8"/>
  <c r="J73"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9" i="20" l="1"/>
  <c r="C8" i="20"/>
  <c r="C19" i="37" l="1"/>
  <c r="C214" i="51" l="1"/>
  <c r="C188" i="51"/>
  <c r="C176" i="51"/>
  <c r="D10" i="5" l="1"/>
  <c r="F500" i="3"/>
  <c r="E179" i="16" l="1"/>
  <c r="E180" i="16" s="1"/>
  <c r="E21" i="7" l="1"/>
  <c r="O29" i="3" l="1"/>
  <c r="L39" i="9" s="1"/>
  <c r="O30" i="3"/>
  <c r="L40" i="9" s="1"/>
  <c r="O31" i="3"/>
  <c r="L41" i="9" s="1"/>
  <c r="O32" i="3"/>
  <c r="L42" i="9" s="1"/>
  <c r="O33" i="3"/>
  <c r="L43" i="9" s="1"/>
  <c r="O34" i="3"/>
  <c r="L44" i="9" s="1"/>
  <c r="O35" i="3"/>
  <c r="O36" i="3"/>
  <c r="O37" i="3"/>
  <c r="O38" i="3"/>
  <c r="O39" i="3"/>
  <c r="O40" i="3"/>
  <c r="O41" i="3"/>
  <c r="O42" i="3"/>
  <c r="O43" i="3"/>
  <c r="O44" i="3"/>
  <c r="E64" i="16" l="1"/>
  <c r="P34" i="3"/>
  <c r="M44" i="9" s="1"/>
  <c r="G63" i="8"/>
  <c r="P39" i="3"/>
  <c r="H68" i="8" s="1"/>
  <c r="G68" i="8"/>
  <c r="P43" i="3"/>
  <c r="H72" i="8" s="1"/>
  <c r="G72" i="8"/>
  <c r="P35" i="3"/>
  <c r="H64" i="8" s="1"/>
  <c r="G64" i="8"/>
  <c r="P42" i="3"/>
  <c r="H71" i="8" s="1"/>
  <c r="G71" i="8"/>
  <c r="P41" i="3"/>
  <c r="H70" i="8" s="1"/>
  <c r="G70" i="8"/>
  <c r="P32" i="3"/>
  <c r="M42" i="9" s="1"/>
  <c r="G61" i="8"/>
  <c r="P31" i="3"/>
  <c r="M41" i="9" s="1"/>
  <c r="G60" i="8"/>
  <c r="P33" i="3"/>
  <c r="M43" i="9" s="1"/>
  <c r="G62" i="8"/>
  <c r="P40" i="3"/>
  <c r="H69" i="8" s="1"/>
  <c r="G69" i="8"/>
  <c r="P38" i="3"/>
  <c r="H67" i="8" s="1"/>
  <c r="G67" i="8"/>
  <c r="P30" i="3"/>
  <c r="M40" i="9" s="1"/>
  <c r="G59" i="8"/>
  <c r="P37" i="3"/>
  <c r="H66" i="8" s="1"/>
  <c r="G66" i="8"/>
  <c r="P29" i="3"/>
  <c r="M39" i="9" s="1"/>
  <c r="G58" i="8"/>
  <c r="P44" i="3"/>
  <c r="H73" i="8" s="1"/>
  <c r="G73" i="8"/>
  <c r="P36" i="3"/>
  <c r="H65" i="8" s="1"/>
  <c r="G65" i="8"/>
  <c r="C37" i="20"/>
  <c r="H61" i="8" l="1"/>
  <c r="H62" i="8"/>
  <c r="H58" i="8"/>
  <c r="H59" i="8"/>
  <c r="H60" i="8"/>
  <c r="H63" i="8"/>
  <c r="S173" i="16"/>
  <c r="T173" i="16"/>
  <c r="U173" i="16"/>
  <c r="V173" i="16"/>
  <c r="C217" i="16" s="1"/>
  <c r="W173" i="16"/>
  <c r="R173" i="16"/>
  <c r="C213" i="16" l="1"/>
  <c r="C25" i="20"/>
  <c r="C26" i="20"/>
  <c r="C220" i="16"/>
  <c r="D19" i="37"/>
  <c r="C24" i="20" l="1"/>
  <c r="C53" i="51" l="1"/>
  <c r="C286" i="51" l="1"/>
  <c r="C287" i="51"/>
  <c r="C288" i="51"/>
  <c r="C289" i="51"/>
  <c r="C292" i="51"/>
  <c r="C293" i="51"/>
  <c r="C294" i="51"/>
  <c r="C296" i="51"/>
  <c r="C297" i="51"/>
  <c r="C298" i="51"/>
  <c r="C299" i="51"/>
  <c r="C300" i="51"/>
  <c r="C301" i="51"/>
  <c r="C305" i="51"/>
  <c r="C306" i="51"/>
  <c r="C307" i="51"/>
  <c r="C308" i="51"/>
  <c r="C309" i="51"/>
  <c r="C310" i="51"/>
  <c r="C311" i="51"/>
  <c r="C312" i="51"/>
  <c r="C313" i="51"/>
  <c r="C314" i="51"/>
  <c r="C315" i="51"/>
  <c r="C316" i="51"/>
  <c r="C317" i="51"/>
  <c r="C318" i="51"/>
  <c r="C319" i="51"/>
  <c r="C321" i="51"/>
  <c r="C322" i="51"/>
  <c r="C323" i="51"/>
  <c r="C324" i="51"/>
  <c r="C325" i="51"/>
  <c r="C326" i="51"/>
  <c r="C327" i="51"/>
  <c r="C329" i="51"/>
  <c r="C330" i="51"/>
  <c r="C331" i="51"/>
  <c r="C332" i="51"/>
  <c r="C333" i="51"/>
  <c r="C334" i="51"/>
  <c r="C335" i="51"/>
  <c r="C336" i="51"/>
  <c r="C337" i="51"/>
  <c r="C338" i="51"/>
  <c r="C339" i="51"/>
  <c r="C340" i="51"/>
  <c r="C341" i="51"/>
  <c r="C342" i="51"/>
  <c r="C343" i="51"/>
  <c r="C344" i="51"/>
  <c r="C345" i="51"/>
  <c r="C347" i="51"/>
  <c r="C348" i="51"/>
  <c r="C349" i="51"/>
  <c r="C350" i="51"/>
  <c r="C351" i="51"/>
  <c r="C352" i="51"/>
  <c r="C353" i="51"/>
  <c r="C354" i="51"/>
  <c r="C355" i="51"/>
  <c r="C356" i="51"/>
  <c r="C358" i="51"/>
  <c r="C359" i="51"/>
  <c r="C360" i="51"/>
  <c r="C361" i="51"/>
  <c r="A285" i="51"/>
  <c r="A356" i="51"/>
  <c r="A358" i="51"/>
  <c r="A359" i="51"/>
  <c r="A360" i="51"/>
  <c r="A361" i="51"/>
  <c r="A343" i="51"/>
  <c r="A344" i="51"/>
  <c r="A345" i="51"/>
  <c r="A347" i="51"/>
  <c r="A348" i="51"/>
  <c r="A349" i="51"/>
  <c r="A350" i="51"/>
  <c r="A351" i="51"/>
  <c r="A352" i="51"/>
  <c r="A353" i="51"/>
  <c r="A354" i="51"/>
  <c r="A355" i="51"/>
  <c r="A329" i="51"/>
  <c r="A330" i="51"/>
  <c r="A331" i="51"/>
  <c r="A332" i="51"/>
  <c r="A333" i="51"/>
  <c r="A334" i="51"/>
  <c r="A335" i="51"/>
  <c r="A336" i="51"/>
  <c r="A337" i="51"/>
  <c r="A338" i="51"/>
  <c r="A339" i="51"/>
  <c r="A340" i="51"/>
  <c r="A341" i="51"/>
  <c r="A342" i="51"/>
  <c r="A310" i="51"/>
  <c r="A311" i="51"/>
  <c r="A312" i="51"/>
  <c r="A313" i="51"/>
  <c r="A314" i="51"/>
  <c r="A315" i="51"/>
  <c r="A316" i="51"/>
  <c r="A317" i="51"/>
  <c r="A318" i="51"/>
  <c r="A319" i="51"/>
  <c r="A321" i="51"/>
  <c r="A322" i="51"/>
  <c r="A323" i="51"/>
  <c r="A324" i="51"/>
  <c r="A325" i="51"/>
  <c r="A326" i="51"/>
  <c r="A327" i="51"/>
  <c r="A286" i="51"/>
  <c r="A287" i="51"/>
  <c r="A288" i="51"/>
  <c r="A289" i="51"/>
  <c r="A290" i="51"/>
  <c r="A292" i="51"/>
  <c r="A293" i="51"/>
  <c r="A294" i="51"/>
  <c r="A296" i="51"/>
  <c r="A297" i="51"/>
  <c r="A298" i="51"/>
  <c r="A299" i="51"/>
  <c r="A300" i="51"/>
  <c r="A301" i="51"/>
  <c r="A305" i="51"/>
  <c r="A306" i="51"/>
  <c r="A307" i="51"/>
  <c r="A308" i="51"/>
  <c r="A309" i="51"/>
  <c r="C198" i="51" l="1"/>
  <c r="C197" i="51"/>
  <c r="C196" i="51"/>
  <c r="C195" i="51"/>
  <c r="C194" i="51"/>
  <c r="C193" i="51"/>
  <c r="C192" i="51"/>
  <c r="C191" i="51"/>
  <c r="C190" i="51"/>
  <c r="C189" i="51"/>
  <c r="C187" i="51"/>
  <c r="C184" i="51"/>
  <c r="C183" i="51"/>
  <c r="C180" i="51"/>
  <c r="C179" i="51"/>
  <c r="C175" i="51"/>
  <c r="C172" i="51"/>
  <c r="C171" i="51"/>
  <c r="C170" i="51"/>
  <c r="A368" i="51" l="1"/>
  <c r="A369" i="51"/>
  <c r="A370" i="51"/>
  <c r="A371" i="51"/>
  <c r="A372" i="51"/>
  <c r="A373" i="51"/>
  <c r="A367" i="51"/>
  <c r="D17" i="37" l="1"/>
  <c r="C202" i="51"/>
  <c r="J71" i="5" l="1"/>
  <c r="G218" i="3" l="1"/>
  <c r="C283" i="51" s="1"/>
  <c r="P173" i="16"/>
  <c r="C163" i="51" s="1"/>
  <c r="E45" i="3"/>
  <c r="K173" i="16"/>
  <c r="C85" i="51" s="1"/>
  <c r="C13" i="51" l="1"/>
  <c r="C14" i="51"/>
  <c r="C105" i="51" l="1"/>
  <c r="B173" i="16"/>
  <c r="H204" i="16"/>
  <c r="C162" i="51" s="1"/>
  <c r="G204" i="16"/>
  <c r="C161" i="51" s="1"/>
  <c r="F204" i="16"/>
  <c r="C160" i="51" s="1"/>
  <c r="E204" i="16"/>
  <c r="C159" i="51" s="1"/>
  <c r="D204" i="16"/>
  <c r="C158" i="51" s="1"/>
  <c r="C204" i="16"/>
  <c r="C157" i="51" s="1"/>
  <c r="H203" i="16"/>
  <c r="C156" i="51" s="1"/>
  <c r="G203" i="16"/>
  <c r="C155" i="51" s="1"/>
  <c r="F203" i="16"/>
  <c r="C154" i="51" s="1"/>
  <c r="E203" i="16"/>
  <c r="C153" i="51" s="1"/>
  <c r="D203" i="16"/>
  <c r="C152" i="51" s="1"/>
  <c r="C203" i="16"/>
  <c r="C151" i="51" s="1"/>
  <c r="H202" i="16"/>
  <c r="C150" i="51" s="1"/>
  <c r="G202" i="16"/>
  <c r="C149" i="51" s="1"/>
  <c r="F202" i="16"/>
  <c r="C148" i="51" s="1"/>
  <c r="E202" i="16"/>
  <c r="C147" i="51" s="1"/>
  <c r="D202" i="16"/>
  <c r="C146" i="51" s="1"/>
  <c r="C202" i="16"/>
  <c r="C145" i="51" s="1"/>
  <c r="H201" i="16"/>
  <c r="C144" i="51" s="1"/>
  <c r="G201" i="16"/>
  <c r="C143" i="51" s="1"/>
  <c r="F201" i="16"/>
  <c r="C142" i="51" s="1"/>
  <c r="E201" i="16"/>
  <c r="C141" i="51" s="1"/>
  <c r="D201" i="16"/>
  <c r="C140" i="51" s="1"/>
  <c r="C201" i="16"/>
  <c r="C139" i="51" s="1"/>
  <c r="H200" i="16"/>
  <c r="C138" i="51" s="1"/>
  <c r="G200" i="16"/>
  <c r="C137" i="51" s="1"/>
  <c r="F200" i="16"/>
  <c r="C136" i="51" s="1"/>
  <c r="E200" i="16"/>
  <c r="C135" i="51" s="1"/>
  <c r="D200" i="16"/>
  <c r="C134" i="51" s="1"/>
  <c r="C200" i="16"/>
  <c r="C133" i="51" l="1"/>
  <c r="F22" i="16"/>
  <c r="I49" i="3"/>
  <c r="D49" i="3" l="1"/>
  <c r="R174" i="16"/>
  <c r="B74" i="8"/>
  <c r="C216" i="16"/>
  <c r="C218" i="16" s="1"/>
  <c r="C282" i="51"/>
  <c r="E55" i="3" l="1"/>
  <c r="E59" i="3"/>
  <c r="E56" i="3"/>
  <c r="E57" i="3"/>
  <c r="E78" i="3"/>
  <c r="E70" i="3"/>
  <c r="H23" i="20" s="1"/>
  <c r="E79" i="3"/>
  <c r="E51" i="3"/>
  <c r="E52" i="3"/>
  <c r="I60" i="3"/>
  <c r="E69" i="3"/>
  <c r="H24" i="20" s="1"/>
  <c r="E77" i="3"/>
  <c r="E68" i="3"/>
  <c r="H25" i="20" s="1"/>
  <c r="E76" i="3"/>
  <c r="E67" i="3"/>
  <c r="H26" i="20" s="1"/>
  <c r="E75" i="3"/>
  <c r="E74" i="3"/>
  <c r="E66" i="3"/>
  <c r="H27" i="20" s="1"/>
  <c r="E65" i="3"/>
  <c r="H28" i="20" s="1"/>
  <c r="E73" i="3"/>
  <c r="E64" i="3"/>
  <c r="H29" i="20" s="1"/>
  <c r="E53" i="3"/>
  <c r="E58" i="3"/>
  <c r="C25" i="5"/>
  <c r="E50" i="3"/>
  <c r="E61" i="3"/>
  <c r="E60" i="3"/>
  <c r="C86" i="51"/>
  <c r="C214" i="16"/>
  <c r="C15" i="37" l="1"/>
  <c r="I51" i="3"/>
  <c r="I50" i="3"/>
  <c r="C99" i="51"/>
  <c r="J69" i="5"/>
  <c r="C72" i="51" l="1"/>
  <c r="C73" i="51"/>
  <c r="C87" i="51"/>
  <c r="C9" i="37"/>
  <c r="C98" i="51"/>
  <c r="C69" i="51" l="1"/>
  <c r="C68" i="51"/>
  <c r="C67" i="51"/>
  <c r="C104" i="51" l="1"/>
  <c r="C103" i="51"/>
  <c r="C102" i="51"/>
  <c r="C101" i="51"/>
  <c r="C100" i="51"/>
  <c r="H22" i="5" l="1"/>
  <c r="K150" i="8" l="1"/>
  <c r="J150" i="8"/>
  <c r="I150" i="8"/>
  <c r="K144" i="8"/>
  <c r="J144" i="8"/>
  <c r="I144" i="8"/>
  <c r="K142" i="8"/>
  <c r="I142" i="8"/>
  <c r="C80" i="8"/>
  <c r="D80" i="8" s="1"/>
  <c r="E80" i="8" s="1"/>
  <c r="F80" i="8" s="1"/>
  <c r="G80" i="8" s="1"/>
  <c r="H80" i="8" s="1"/>
  <c r="I80" i="8" s="1"/>
  <c r="J80" i="8" s="1"/>
  <c r="K80" i="8" s="1"/>
  <c r="L80" i="8" s="1"/>
  <c r="M80" i="8" s="1"/>
  <c r="N80" i="8" s="1"/>
  <c r="O80" i="8" s="1"/>
  <c r="P80" i="8" s="1"/>
  <c r="Q80" i="8" s="1"/>
  <c r="R80" i="8" s="1"/>
  <c r="S80" i="8" s="1"/>
  <c r="T80" i="8" s="1"/>
  <c r="U80" i="8" s="1"/>
  <c r="V80" i="8" s="1"/>
  <c r="W80" i="8" s="1"/>
  <c r="X80" i="8" s="1"/>
  <c r="Y80" i="8" s="1"/>
  <c r="Z80" i="8" s="1"/>
  <c r="AA80" i="8" s="1"/>
  <c r="AB80" i="8" s="1"/>
  <c r="AC80" i="8" s="1"/>
  <c r="AD80" i="8" s="1"/>
  <c r="AE80" i="8" s="1"/>
  <c r="AF80" i="8" s="1"/>
  <c r="C79" i="8"/>
  <c r="D79" i="8" s="1"/>
  <c r="E79" i="8" s="1"/>
  <c r="F79" i="8" s="1"/>
  <c r="G79" i="8" s="1"/>
  <c r="H79" i="8" s="1"/>
  <c r="I79" i="8" s="1"/>
  <c r="J79" i="8" s="1"/>
  <c r="K79" i="8" s="1"/>
  <c r="L79" i="8" s="1"/>
  <c r="M79" i="8" s="1"/>
  <c r="N79" i="8" s="1"/>
  <c r="O79" i="8" s="1"/>
  <c r="P79" i="8" s="1"/>
  <c r="Q79" i="8" s="1"/>
  <c r="R79" i="8" s="1"/>
  <c r="S79" i="8" s="1"/>
  <c r="T79" i="8" s="1"/>
  <c r="U79" i="8" s="1"/>
  <c r="V79" i="8" s="1"/>
  <c r="W79" i="8" s="1"/>
  <c r="X79" i="8" s="1"/>
  <c r="Y79" i="8" s="1"/>
  <c r="Z79" i="8" s="1"/>
  <c r="AA79" i="8" s="1"/>
  <c r="AB79" i="8" s="1"/>
  <c r="AC79" i="8" s="1"/>
  <c r="AD79" i="8" s="1"/>
  <c r="AE79" i="8" s="1"/>
  <c r="AF79" i="8" s="1"/>
  <c r="I38" i="8"/>
  <c r="F38" i="8"/>
  <c r="E38" i="8"/>
  <c r="D38" i="8"/>
  <c r="C38" i="8"/>
  <c r="B38" i="8"/>
  <c r="C99" i="8"/>
  <c r="C98" i="8"/>
  <c r="L26" i="8"/>
  <c r="C97" i="8" s="1"/>
  <c r="B141" i="8"/>
  <c r="C140" i="8"/>
  <c r="B140" i="8"/>
  <c r="J27" i="8"/>
  <c r="C139" i="8"/>
  <c r="C138" i="8"/>
  <c r="B138" i="8"/>
  <c r="C137" i="8"/>
  <c r="B94" i="8"/>
  <c r="F24" i="8"/>
  <c r="E24" i="8"/>
  <c r="D24" i="8"/>
  <c r="C24" i="8"/>
  <c r="B136" i="8" s="1"/>
  <c r="B24" i="8"/>
  <c r="C20" i="8"/>
  <c r="E17" i="8"/>
  <c r="E16" i="8"/>
  <c r="C8" i="8"/>
  <c r="C6" i="8"/>
  <c r="D84" i="8"/>
  <c r="E84" i="8" s="1"/>
  <c r="F84" i="8" s="1"/>
  <c r="G84" i="8" s="1"/>
  <c r="H84" i="8" s="1"/>
  <c r="I84" i="8" s="1"/>
  <c r="J84" i="8" s="1"/>
  <c r="K84" i="8" s="1"/>
  <c r="L84" i="8" s="1"/>
  <c r="M84" i="8" s="1"/>
  <c r="N84" i="8" s="1"/>
  <c r="O84" i="8" s="1"/>
  <c r="P84" i="8" s="1"/>
  <c r="Q84" i="8" s="1"/>
  <c r="R84" i="8" s="1"/>
  <c r="S84" i="8" s="1"/>
  <c r="T84" i="8" s="1"/>
  <c r="U84" i="8" s="1"/>
  <c r="V84" i="8" s="1"/>
  <c r="W84" i="8" s="1"/>
  <c r="X84" i="8" s="1"/>
  <c r="Y84" i="8" s="1"/>
  <c r="Z84" i="8" s="1"/>
  <c r="AA84" i="8" s="1"/>
  <c r="AB84" i="8" s="1"/>
  <c r="AC84" i="8" s="1"/>
  <c r="AD84" i="8" s="1"/>
  <c r="AE84" i="8" s="1"/>
  <c r="AF84" i="8" s="1"/>
  <c r="D90" i="8" l="1"/>
  <c r="E90" i="8" s="1"/>
  <c r="F90" i="8" s="1"/>
  <c r="G90" i="8" s="1"/>
  <c r="H90" i="8" s="1"/>
  <c r="I90" i="8" s="1"/>
  <c r="J90" i="8" s="1"/>
  <c r="K90" i="8" s="1"/>
  <c r="L90" i="8" s="1"/>
  <c r="M90" i="8" s="1"/>
  <c r="N90" i="8" s="1"/>
  <c r="O90" i="8" s="1"/>
  <c r="P90" i="8" s="1"/>
  <c r="Q90" i="8" s="1"/>
  <c r="R90" i="8" s="1"/>
  <c r="S90" i="8" s="1"/>
  <c r="T90" i="8" s="1"/>
  <c r="U90" i="8" s="1"/>
  <c r="V90" i="8" s="1"/>
  <c r="W90" i="8" s="1"/>
  <c r="X90" i="8" s="1"/>
  <c r="Y90" i="8" s="1"/>
  <c r="Z90" i="8" s="1"/>
  <c r="AA90" i="8" s="1"/>
  <c r="AB90" i="8" s="1"/>
  <c r="AC90" i="8" s="1"/>
  <c r="AD90" i="8" s="1"/>
  <c r="AE90" i="8" s="1"/>
  <c r="AF90" i="8" s="1"/>
  <c r="B137" i="8"/>
  <c r="C136" i="8"/>
  <c r="B139" i="8"/>
  <c r="C94" i="8"/>
  <c r="B95" i="8"/>
  <c r="C95" i="8"/>
  <c r="C141" i="8"/>
  <c r="B96" i="8"/>
  <c r="B97" i="8"/>
  <c r="D34" i="8"/>
  <c r="G33" i="8" s="1"/>
  <c r="D145" i="8" s="1"/>
  <c r="B98" i="8"/>
  <c r="B99" i="8"/>
  <c r="G29" i="8" l="1"/>
  <c r="D141" i="8" s="1"/>
  <c r="G32" i="8"/>
  <c r="D144" i="8" s="1"/>
  <c r="G28" i="8"/>
  <c r="D140" i="8" s="1"/>
  <c r="G26" i="8"/>
  <c r="D138" i="8" s="1"/>
  <c r="G27" i="8"/>
  <c r="D139" i="8" s="1"/>
  <c r="G25" i="8"/>
  <c r="D137" i="8" s="1"/>
  <c r="G24" i="8"/>
  <c r="D136" i="8" s="1"/>
  <c r="C66" i="51"/>
  <c r="C146" i="8"/>
  <c r="AF94" i="8"/>
  <c r="X94" i="8"/>
  <c r="P94" i="8"/>
  <c r="H94" i="8"/>
  <c r="AE94" i="8"/>
  <c r="W94" i="8"/>
  <c r="O94" i="8"/>
  <c r="G94" i="8"/>
  <c r="AD94" i="8"/>
  <c r="V94" i="8"/>
  <c r="N94" i="8"/>
  <c r="F94" i="8"/>
  <c r="S94" i="8"/>
  <c r="E94" i="8"/>
  <c r="AC94" i="8"/>
  <c r="R94" i="8"/>
  <c r="D94" i="8"/>
  <c r="AB94" i="8"/>
  <c r="Q94" i="8"/>
  <c r="AA94" i="8"/>
  <c r="M94" i="8"/>
  <c r="Z94" i="8"/>
  <c r="L94" i="8"/>
  <c r="Y94" i="8"/>
  <c r="K94" i="8"/>
  <c r="U94" i="8"/>
  <c r="J94" i="8"/>
  <c r="T94" i="8"/>
  <c r="I94" i="8"/>
  <c r="Z95" i="8"/>
  <c r="R95" i="8"/>
  <c r="J95" i="8"/>
  <c r="Y95" i="8"/>
  <c r="Q95" i="8"/>
  <c r="I95" i="8"/>
  <c r="AF95" i="8"/>
  <c r="X95" i="8"/>
  <c r="P95" i="8"/>
  <c r="H95" i="8"/>
  <c r="AE95" i="8"/>
  <c r="W95" i="8"/>
  <c r="O95" i="8"/>
  <c r="G95" i="8"/>
  <c r="AD95" i="8"/>
  <c r="N95" i="8"/>
  <c r="AC95" i="8"/>
  <c r="M95" i="8"/>
  <c r="AB95" i="8"/>
  <c r="L95" i="8"/>
  <c r="AA95" i="8"/>
  <c r="K95" i="8"/>
  <c r="V95" i="8"/>
  <c r="F95" i="8"/>
  <c r="U95" i="8"/>
  <c r="E95" i="8"/>
  <c r="T95" i="8"/>
  <c r="D95" i="8"/>
  <c r="S95" i="8"/>
  <c r="D146" i="8" l="1"/>
  <c r="G34" i="8"/>
  <c r="K120" i="8"/>
  <c r="G120" i="8"/>
  <c r="O120" i="8"/>
  <c r="L120" i="8"/>
  <c r="I120" i="8"/>
  <c r="M120" i="8"/>
  <c r="F120" i="8"/>
  <c r="H120" i="8"/>
  <c r="D120" i="8"/>
  <c r="E120" i="8"/>
  <c r="N120" i="8"/>
  <c r="J120" i="8"/>
  <c r="Q120" i="8"/>
  <c r="P120" i="8"/>
  <c r="C56" i="51" l="1"/>
  <c r="I240" i="3"/>
  <c r="I241" i="3"/>
  <c r="I242" i="3"/>
  <c r="I243" i="3"/>
  <c r="I244" i="3"/>
  <c r="I245" i="3"/>
  <c r="I246" i="3"/>
  <c r="I239" i="3"/>
  <c r="P241" i="3" l="1"/>
  <c r="P240" i="3"/>
  <c r="P239" i="3"/>
  <c r="C38" i="51" l="1"/>
  <c r="F16" i="5" l="1"/>
  <c r="G247" i="3"/>
  <c r="G217" i="3"/>
  <c r="D177" i="16" l="1"/>
  <c r="D176" i="16"/>
  <c r="C177" i="16"/>
  <c r="C176" i="16"/>
  <c r="C90" i="51"/>
  <c r="C91" i="51"/>
  <c r="F173" i="16"/>
  <c r="F177" i="16" l="1"/>
  <c r="C178" i="16"/>
  <c r="F176" i="16"/>
  <c r="D178" i="16"/>
  <c r="C83" i="51"/>
  <c r="C82" i="51"/>
  <c r="C81" i="51"/>
  <c r="C80" i="51"/>
  <c r="C79" i="51"/>
  <c r="C78" i="51"/>
  <c r="C21" i="51"/>
  <c r="C213" i="51"/>
  <c r="C212" i="51"/>
  <c r="C211" i="51"/>
  <c r="C210" i="51"/>
  <c r="C209" i="51"/>
  <c r="C208" i="51"/>
  <c r="C207" i="51"/>
  <c r="C55" i="51"/>
  <c r="C54" i="51"/>
  <c r="C52" i="51"/>
  <c r="C51" i="51"/>
  <c r="C50" i="51"/>
  <c r="C205" i="51"/>
  <c r="C204" i="51"/>
  <c r="C201" i="51"/>
  <c r="C199" i="51"/>
  <c r="C34" i="51"/>
  <c r="C127" i="51"/>
  <c r="C126" i="51"/>
  <c r="C125" i="51"/>
  <c r="C124" i="51"/>
  <c r="C123" i="51"/>
  <c r="C122" i="51"/>
  <c r="C121" i="51"/>
  <c r="C120" i="51"/>
  <c r="C119" i="51"/>
  <c r="C118" i="51"/>
  <c r="C117" i="51"/>
  <c r="C116" i="51"/>
  <c r="C115" i="51"/>
  <c r="C114" i="51"/>
  <c r="C113" i="51"/>
  <c r="C186" i="51"/>
  <c r="C185" i="51"/>
  <c r="C182" i="51"/>
  <c r="C181" i="51"/>
  <c r="C178" i="51"/>
  <c r="C177" i="51"/>
  <c r="C174" i="51"/>
  <c r="C173" i="51"/>
  <c r="C169" i="51"/>
  <c r="C168" i="51"/>
  <c r="C167" i="51"/>
  <c r="C166" i="51"/>
  <c r="C165" i="51"/>
  <c r="C164" i="51"/>
  <c r="C15" i="51"/>
  <c r="C12" i="51"/>
  <c r="C11" i="51"/>
  <c r="C10" i="51"/>
  <c r="C9" i="51"/>
  <c r="C8" i="51"/>
  <c r="C7" i="51"/>
  <c r="C6" i="51"/>
  <c r="C5" i="51"/>
  <c r="C4" i="51"/>
  <c r="H76" i="11"/>
  <c r="H77" i="11" s="1"/>
  <c r="G76" i="11"/>
  <c r="G77" i="11" s="1"/>
  <c r="F76" i="11"/>
  <c r="F77" i="11" s="1"/>
  <c r="E76" i="11"/>
  <c r="E77" i="11" s="1"/>
  <c r="I75" i="11"/>
  <c r="D75" i="11" s="1"/>
  <c r="I74" i="11"/>
  <c r="D74" i="11" s="1"/>
  <c r="I73" i="11"/>
  <c r="D73" i="11" s="1"/>
  <c r="I72" i="11"/>
  <c r="D72" i="11" s="1"/>
  <c r="I71" i="11"/>
  <c r="D71" i="11" s="1"/>
  <c r="I70" i="11"/>
  <c r="J70" i="11" s="1"/>
  <c r="I69" i="11"/>
  <c r="J69" i="11" s="1"/>
  <c r="I68" i="11"/>
  <c r="J68" i="11" s="1"/>
  <c r="I67" i="11"/>
  <c r="D67" i="11" s="1"/>
  <c r="I66" i="11"/>
  <c r="D66" i="11" s="1"/>
  <c r="I65" i="11"/>
  <c r="D65" i="11" s="1"/>
  <c r="I64" i="11"/>
  <c r="D64" i="11" s="1"/>
  <c r="I63" i="11"/>
  <c r="D63" i="11" s="1"/>
  <c r="I62" i="11"/>
  <c r="D62" i="11" s="1"/>
  <c r="I61" i="11"/>
  <c r="D61" i="11" s="1"/>
  <c r="I60" i="11"/>
  <c r="D60" i="11" s="1"/>
  <c r="I59" i="11"/>
  <c r="D59" i="11" s="1"/>
  <c r="I58" i="11"/>
  <c r="D58" i="11" s="1"/>
  <c r="D77" i="11" s="1"/>
  <c r="H54" i="11"/>
  <c r="H53" i="11"/>
  <c r="H52" i="11"/>
  <c r="H51" i="11"/>
  <c r="H50" i="11"/>
  <c r="H49" i="11"/>
  <c r="H48" i="11"/>
  <c r="H47" i="11"/>
  <c r="H46" i="11"/>
  <c r="H45" i="11"/>
  <c r="H41" i="11"/>
  <c r="H40" i="11"/>
  <c r="H39" i="11"/>
  <c r="H38" i="11"/>
  <c r="H37" i="11"/>
  <c r="H36" i="11"/>
  <c r="H35" i="11"/>
  <c r="H34" i="11"/>
  <c r="H33" i="11"/>
  <c r="E22" i="11"/>
  <c r="D11" i="11"/>
  <c r="F24" i="7"/>
  <c r="C42" i="37"/>
  <c r="D18" i="37"/>
  <c r="E17" i="37"/>
  <c r="C7" i="37"/>
  <c r="C8" i="37" s="1"/>
  <c r="F87" i="10"/>
  <c r="A84" i="10"/>
  <c r="F71" i="10"/>
  <c r="F58" i="10"/>
  <c r="F45" i="10"/>
  <c r="F32" i="10"/>
  <c r="A31" i="10"/>
  <c r="F15" i="10"/>
  <c r="A14" i="10"/>
  <c r="C54" i="5"/>
  <c r="E35" i="5"/>
  <c r="K152" i="8" s="1"/>
  <c r="D35" i="5"/>
  <c r="J152" i="8" s="1"/>
  <c r="C35" i="5"/>
  <c r="I152" i="8" s="1"/>
  <c r="G19" i="5"/>
  <c r="H10" i="5"/>
  <c r="G10" i="5"/>
  <c r="E9" i="5"/>
  <c r="K141" i="8" s="1"/>
  <c r="D9" i="5"/>
  <c r="J141" i="8" s="1"/>
  <c r="C9" i="5"/>
  <c r="I141" i="8" s="1"/>
  <c r="E8" i="5"/>
  <c r="K140" i="8" s="1"/>
  <c r="D8" i="5"/>
  <c r="J140" i="8" s="1"/>
  <c r="C8" i="5"/>
  <c r="I140" i="8" s="1"/>
  <c r="H500" i="3"/>
  <c r="G500" i="3"/>
  <c r="I498" i="3"/>
  <c r="J498" i="3" s="1"/>
  <c r="I497" i="3"/>
  <c r="J497" i="3" s="1"/>
  <c r="I496" i="3"/>
  <c r="J496" i="3" s="1"/>
  <c r="I495" i="3"/>
  <c r="J495" i="3" s="1"/>
  <c r="H493" i="3"/>
  <c r="G493" i="3"/>
  <c r="F493" i="3"/>
  <c r="I492" i="3" s="1"/>
  <c r="J492" i="3" s="1"/>
  <c r="I491" i="3"/>
  <c r="J491" i="3" s="1"/>
  <c r="I490" i="3"/>
  <c r="J490" i="3" s="1"/>
  <c r="I489" i="3"/>
  <c r="J489" i="3" s="1"/>
  <c r="I488" i="3"/>
  <c r="J488" i="3" s="1"/>
  <c r="I487" i="3"/>
  <c r="J487" i="3" s="1"/>
  <c r="I486" i="3"/>
  <c r="H484" i="3"/>
  <c r="G484" i="3"/>
  <c r="F484" i="3"/>
  <c r="I482" i="3"/>
  <c r="J482" i="3" s="1"/>
  <c r="I481" i="3"/>
  <c r="J481" i="3" s="1"/>
  <c r="I480" i="3"/>
  <c r="J480" i="3" s="1"/>
  <c r="I479" i="3"/>
  <c r="J479" i="3" s="1"/>
  <c r="H477" i="3"/>
  <c r="G477" i="3"/>
  <c r="F477" i="3"/>
  <c r="I475" i="3"/>
  <c r="J475" i="3" s="1"/>
  <c r="I474" i="3"/>
  <c r="J474" i="3" s="1"/>
  <c r="I473" i="3"/>
  <c r="J473" i="3" s="1"/>
  <c r="I472" i="3"/>
  <c r="J472" i="3" s="1"/>
  <c r="I471" i="3"/>
  <c r="J471" i="3" s="1"/>
  <c r="I470" i="3"/>
  <c r="J470" i="3" s="1"/>
  <c r="I469" i="3"/>
  <c r="J469" i="3" s="1"/>
  <c r="I468" i="3"/>
  <c r="J468" i="3" s="1"/>
  <c r="I467" i="3"/>
  <c r="J467" i="3" s="1"/>
  <c r="I466" i="3"/>
  <c r="J466" i="3" s="1"/>
  <c r="I465" i="3"/>
  <c r="J465" i="3" s="1"/>
  <c r="I464" i="3"/>
  <c r="J464" i="3" s="1"/>
  <c r="I463" i="3"/>
  <c r="J463" i="3" s="1"/>
  <c r="I462" i="3"/>
  <c r="J462" i="3" s="1"/>
  <c r="I461" i="3"/>
  <c r="J461" i="3" s="1"/>
  <c r="I460" i="3"/>
  <c r="J460" i="3" s="1"/>
  <c r="I459" i="3"/>
  <c r="J459" i="3" s="1"/>
  <c r="I458" i="3"/>
  <c r="J458" i="3" s="1"/>
  <c r="I457" i="3"/>
  <c r="J457" i="3" s="1"/>
  <c r="I456" i="3"/>
  <c r="J456" i="3" s="1"/>
  <c r="I455" i="3"/>
  <c r="J455" i="3" s="1"/>
  <c r="I454" i="3"/>
  <c r="J454" i="3" s="1"/>
  <c r="I453" i="3"/>
  <c r="J453" i="3" s="1"/>
  <c r="I452" i="3"/>
  <c r="J452" i="3" s="1"/>
  <c r="I451" i="3"/>
  <c r="J451" i="3" s="1"/>
  <c r="I450" i="3"/>
  <c r="J450" i="3" s="1"/>
  <c r="I449" i="3"/>
  <c r="J449" i="3" s="1"/>
  <c r="I448" i="3"/>
  <c r="J448" i="3" s="1"/>
  <c r="I447" i="3"/>
  <c r="J447" i="3" s="1"/>
  <c r="I446" i="3"/>
  <c r="J446" i="3" s="1"/>
  <c r="I445" i="3"/>
  <c r="H443" i="3"/>
  <c r="G443" i="3"/>
  <c r="F443" i="3"/>
  <c r="I441" i="3"/>
  <c r="J441" i="3" s="1"/>
  <c r="I440" i="3"/>
  <c r="J440" i="3" s="1"/>
  <c r="I439" i="3"/>
  <c r="J439" i="3" s="1"/>
  <c r="I438" i="3"/>
  <c r="J438" i="3" s="1"/>
  <c r="I437" i="3"/>
  <c r="J437" i="3" s="1"/>
  <c r="I436" i="3"/>
  <c r="J436" i="3" s="1"/>
  <c r="I435" i="3"/>
  <c r="J435" i="3" s="1"/>
  <c r="H433" i="3"/>
  <c r="G433" i="3"/>
  <c r="F433" i="3"/>
  <c r="I431" i="3"/>
  <c r="J431" i="3" s="1"/>
  <c r="I430" i="3"/>
  <c r="J430" i="3" s="1"/>
  <c r="I429" i="3"/>
  <c r="J429" i="3" s="1"/>
  <c r="I428" i="3"/>
  <c r="J428" i="3" s="1"/>
  <c r="I427" i="3"/>
  <c r="J427" i="3" s="1"/>
  <c r="I426" i="3"/>
  <c r="J426" i="3" s="1"/>
  <c r="I425" i="3"/>
  <c r="J425" i="3" s="1"/>
  <c r="I424" i="3"/>
  <c r="J424" i="3" s="1"/>
  <c r="I423" i="3"/>
  <c r="J423" i="3" s="1"/>
  <c r="H418" i="3"/>
  <c r="P405" i="3"/>
  <c r="P406" i="3" s="1"/>
  <c r="O405" i="3"/>
  <c r="O406" i="3" s="1"/>
  <c r="N405" i="3"/>
  <c r="N406" i="3" s="1"/>
  <c r="G405" i="3"/>
  <c r="G406" i="3" s="1"/>
  <c r="Q403" i="3"/>
  <c r="C278" i="51" s="1"/>
  <c r="D403" i="3"/>
  <c r="Q402" i="3"/>
  <c r="C277" i="51" s="1"/>
  <c r="D402" i="3"/>
  <c r="Q401" i="3"/>
  <c r="C276" i="51" s="1"/>
  <c r="Q400" i="3"/>
  <c r="C275" i="51" s="1"/>
  <c r="Q398" i="3"/>
  <c r="C274" i="51" s="1"/>
  <c r="D398" i="3"/>
  <c r="Q397" i="3"/>
  <c r="L316" i="3" s="1"/>
  <c r="D397" i="3"/>
  <c r="Q396" i="3"/>
  <c r="Q395" i="3"/>
  <c r="C271" i="51" s="1"/>
  <c r="Q394" i="3"/>
  <c r="C270" i="51" s="1"/>
  <c r="Q392" i="3"/>
  <c r="C269" i="51" s="1"/>
  <c r="D392" i="3"/>
  <c r="Q391" i="3"/>
  <c r="C268" i="51" s="1"/>
  <c r="D391" i="3"/>
  <c r="Q390" i="3"/>
  <c r="C267" i="51" s="1"/>
  <c r="Q389" i="3"/>
  <c r="C266" i="51" s="1"/>
  <c r="Q388" i="3"/>
  <c r="C265" i="51" s="1"/>
  <c r="Q387" i="3"/>
  <c r="C264" i="51" s="1"/>
  <c r="Q386" i="3"/>
  <c r="C263" i="51" s="1"/>
  <c r="Q385" i="3"/>
  <c r="C262" i="51" s="1"/>
  <c r="Q384" i="3"/>
  <c r="C261" i="51" s="1"/>
  <c r="Q383" i="3"/>
  <c r="Q382" i="3"/>
  <c r="C259" i="51" s="1"/>
  <c r="Q381" i="3"/>
  <c r="C258" i="51" s="1"/>
  <c r="Q379" i="3"/>
  <c r="C257" i="51" s="1"/>
  <c r="D379" i="3"/>
  <c r="Q378" i="3"/>
  <c r="C256" i="51" s="1"/>
  <c r="D378" i="3"/>
  <c r="Q377" i="3"/>
  <c r="C255" i="51" s="1"/>
  <c r="Q376" i="3"/>
  <c r="C254" i="51" s="1"/>
  <c r="Q375" i="3"/>
  <c r="C253" i="51" s="1"/>
  <c r="Q374" i="3"/>
  <c r="C252" i="51" s="1"/>
  <c r="Q373" i="3"/>
  <c r="L292" i="3" s="1"/>
  <c r="Q372" i="3"/>
  <c r="C250" i="51" s="1"/>
  <c r="Q371" i="3"/>
  <c r="C249" i="51" s="1"/>
  <c r="Q370" i="3"/>
  <c r="C248" i="51" s="1"/>
  <c r="Q368" i="3"/>
  <c r="C247" i="51" s="1"/>
  <c r="D368" i="3"/>
  <c r="Q367" i="3"/>
  <c r="C246" i="51" s="1"/>
  <c r="D367" i="3"/>
  <c r="Q366" i="3"/>
  <c r="C245" i="51" s="1"/>
  <c r="Q365" i="3"/>
  <c r="C244" i="51" s="1"/>
  <c r="Q364" i="3"/>
  <c r="Q363" i="3"/>
  <c r="L282" i="3" s="1"/>
  <c r="Q362" i="3"/>
  <c r="C241" i="51" s="1"/>
  <c r="Q361" i="3"/>
  <c r="C240" i="51" s="1"/>
  <c r="Q360" i="3"/>
  <c r="Q359" i="3"/>
  <c r="C238" i="51" s="1"/>
  <c r="Q358" i="3"/>
  <c r="C237" i="51" s="1"/>
  <c r="Q357" i="3"/>
  <c r="L276" i="3" s="1"/>
  <c r="Q356" i="3"/>
  <c r="C235" i="51" s="1"/>
  <c r="Q355" i="3"/>
  <c r="C234" i="51" s="1"/>
  <c r="Q353" i="3"/>
  <c r="C233" i="51" s="1"/>
  <c r="D353" i="3"/>
  <c r="Q352" i="3"/>
  <c r="L271" i="3" s="1"/>
  <c r="D352" i="3"/>
  <c r="Q351" i="3"/>
  <c r="L270" i="3" s="1"/>
  <c r="Q350" i="3"/>
  <c r="C231" i="51" s="1"/>
  <c r="Q349" i="3"/>
  <c r="C230" i="51" s="1"/>
  <c r="Q348" i="3"/>
  <c r="L267" i="3" s="1"/>
  <c r="Q346" i="3"/>
  <c r="C228" i="51" s="1"/>
  <c r="D346" i="3"/>
  <c r="Q345" i="3"/>
  <c r="C227" i="51" s="1"/>
  <c r="D345" i="3"/>
  <c r="Q344" i="3"/>
  <c r="C226" i="51" s="1"/>
  <c r="Q343" i="3"/>
  <c r="C225" i="51" s="1"/>
  <c r="Q342" i="3"/>
  <c r="C224" i="51" s="1"/>
  <c r="Q341" i="3"/>
  <c r="C223" i="51" s="1"/>
  <c r="Q340" i="3"/>
  <c r="C222" i="51" s="1"/>
  <c r="Q339" i="3"/>
  <c r="C221" i="51" s="1"/>
  <c r="Q338" i="3"/>
  <c r="C220" i="51" s="1"/>
  <c r="Q336" i="3"/>
  <c r="C219" i="51" s="1"/>
  <c r="D336" i="3"/>
  <c r="Q335" i="3"/>
  <c r="C218" i="51" s="1"/>
  <c r="D335" i="3"/>
  <c r="Q334" i="3"/>
  <c r="C217" i="51" s="1"/>
  <c r="Q333" i="3"/>
  <c r="C216" i="51" s="1"/>
  <c r="H324" i="3"/>
  <c r="G324" i="3"/>
  <c r="D7" i="5" s="1"/>
  <c r="J139" i="8" s="1"/>
  <c r="F324" i="3"/>
  <c r="C7" i="5" s="1"/>
  <c r="I139" i="8" s="1"/>
  <c r="J322" i="3"/>
  <c r="K322" i="3" s="1"/>
  <c r="F403" i="3" s="1"/>
  <c r="J321" i="3"/>
  <c r="K321" i="3" s="1"/>
  <c r="J320" i="3"/>
  <c r="K320" i="3" s="1"/>
  <c r="F401" i="3" s="1"/>
  <c r="J319" i="3"/>
  <c r="K319" i="3" s="1"/>
  <c r="F400" i="3" s="1"/>
  <c r="J317" i="3"/>
  <c r="K317" i="3" s="1"/>
  <c r="F398" i="3" s="1"/>
  <c r="J316" i="3"/>
  <c r="K316" i="3" s="1"/>
  <c r="F397" i="3" s="1"/>
  <c r="J315" i="3"/>
  <c r="K315" i="3" s="1"/>
  <c r="F396" i="3" s="1"/>
  <c r="J314" i="3"/>
  <c r="J313" i="3"/>
  <c r="K313" i="3" s="1"/>
  <c r="F394" i="3" s="1"/>
  <c r="J311" i="3"/>
  <c r="K311" i="3" s="1"/>
  <c r="J310" i="3"/>
  <c r="K310" i="3" s="1"/>
  <c r="J309" i="3"/>
  <c r="K309" i="3" s="1"/>
  <c r="J308" i="3"/>
  <c r="K308" i="3" s="1"/>
  <c r="F389" i="3" s="1"/>
  <c r="J307" i="3"/>
  <c r="K307" i="3" s="1"/>
  <c r="J306" i="3"/>
  <c r="K306" i="3" s="1"/>
  <c r="F387" i="3" s="1"/>
  <c r="J305" i="3"/>
  <c r="K305" i="3" s="1"/>
  <c r="J304" i="3"/>
  <c r="K304" i="3" s="1"/>
  <c r="J303" i="3"/>
  <c r="K303" i="3" s="1"/>
  <c r="F384" i="3" s="1"/>
  <c r="J302" i="3"/>
  <c r="K302" i="3" s="1"/>
  <c r="J301" i="3"/>
  <c r="K301" i="3" s="1"/>
  <c r="J300" i="3"/>
  <c r="K300" i="3" s="1"/>
  <c r="J298" i="3"/>
  <c r="K298" i="3" s="1"/>
  <c r="F379" i="3" s="1"/>
  <c r="J297" i="3"/>
  <c r="K297" i="3" s="1"/>
  <c r="F378" i="3" s="1"/>
  <c r="J296" i="3"/>
  <c r="K296" i="3" s="1"/>
  <c r="F377" i="3" s="1"/>
  <c r="J295" i="3"/>
  <c r="K295" i="3" s="1"/>
  <c r="F376" i="3" s="1"/>
  <c r="J294" i="3"/>
  <c r="K294" i="3" s="1"/>
  <c r="F375" i="3" s="1"/>
  <c r="J293" i="3"/>
  <c r="K293" i="3" s="1"/>
  <c r="F374" i="3" s="1"/>
  <c r="J292" i="3"/>
  <c r="K292" i="3" s="1"/>
  <c r="F373" i="3" s="1"/>
  <c r="J291" i="3"/>
  <c r="K291" i="3" s="1"/>
  <c r="F372" i="3" s="1"/>
  <c r="J290" i="3"/>
  <c r="K290" i="3" s="1"/>
  <c r="F371" i="3" s="1"/>
  <c r="J289" i="3"/>
  <c r="K289" i="3" s="1"/>
  <c r="F370" i="3" s="1"/>
  <c r="J287" i="3"/>
  <c r="K287" i="3" s="1"/>
  <c r="F368" i="3" s="1"/>
  <c r="J286" i="3"/>
  <c r="K286" i="3" s="1"/>
  <c r="F367" i="3" s="1"/>
  <c r="J285" i="3"/>
  <c r="K285" i="3" s="1"/>
  <c r="J284" i="3"/>
  <c r="K284" i="3" s="1"/>
  <c r="F365" i="3" s="1"/>
  <c r="J283" i="3"/>
  <c r="K283" i="3" s="1"/>
  <c r="F364" i="3" s="1"/>
  <c r="J282" i="3"/>
  <c r="K282" i="3" s="1"/>
  <c r="F363" i="3" s="1"/>
  <c r="J281" i="3"/>
  <c r="K281" i="3" s="1"/>
  <c r="F362" i="3" s="1"/>
  <c r="J280" i="3"/>
  <c r="K280" i="3" s="1"/>
  <c r="F361" i="3" s="1"/>
  <c r="J279" i="3"/>
  <c r="K279" i="3" s="1"/>
  <c r="F360" i="3" s="1"/>
  <c r="J278" i="3"/>
  <c r="K278" i="3" s="1"/>
  <c r="F359" i="3" s="1"/>
  <c r="J277" i="3"/>
  <c r="K277" i="3" s="1"/>
  <c r="J276" i="3"/>
  <c r="K276" i="3" s="1"/>
  <c r="F357" i="3" s="1"/>
  <c r="J275" i="3"/>
  <c r="K275" i="3" s="1"/>
  <c r="J274" i="3"/>
  <c r="K274" i="3" s="1"/>
  <c r="F355" i="3" s="1"/>
  <c r="J272" i="3"/>
  <c r="K272" i="3" s="1"/>
  <c r="J271" i="3"/>
  <c r="K271" i="3" s="1"/>
  <c r="F352" i="3" s="1"/>
  <c r="J270" i="3"/>
  <c r="K270" i="3" s="1"/>
  <c r="F351" i="3" s="1"/>
  <c r="J269" i="3"/>
  <c r="K269" i="3" s="1"/>
  <c r="F350" i="3" s="1"/>
  <c r="J268" i="3"/>
  <c r="K268" i="3" s="1"/>
  <c r="J267" i="3"/>
  <c r="K267" i="3" s="1"/>
  <c r="F348" i="3" s="1"/>
  <c r="J265" i="3"/>
  <c r="K265" i="3" s="1"/>
  <c r="J264" i="3"/>
  <c r="K264" i="3" s="1"/>
  <c r="F345" i="3" s="1"/>
  <c r="J263" i="3"/>
  <c r="K263" i="3" s="1"/>
  <c r="J262" i="3"/>
  <c r="K262" i="3" s="1"/>
  <c r="J261" i="3"/>
  <c r="K261" i="3" s="1"/>
  <c r="J260" i="3"/>
  <c r="K260" i="3" s="1"/>
  <c r="J259" i="3"/>
  <c r="K259" i="3" s="1"/>
  <c r="J258" i="3"/>
  <c r="K258" i="3" s="1"/>
  <c r="F339" i="3" s="1"/>
  <c r="J257" i="3"/>
  <c r="K257" i="3" s="1"/>
  <c r="J255" i="3"/>
  <c r="K255" i="3" s="1"/>
  <c r="F336" i="3" s="1"/>
  <c r="J254" i="3"/>
  <c r="K254" i="3" s="1"/>
  <c r="F335" i="3" s="1"/>
  <c r="J253" i="3"/>
  <c r="K253" i="3" s="1"/>
  <c r="F334" i="3" s="1"/>
  <c r="J252" i="3"/>
  <c r="K252" i="3" s="1"/>
  <c r="F333" i="3" s="1"/>
  <c r="J251" i="3"/>
  <c r="K251" i="3" s="1"/>
  <c r="P238" i="3"/>
  <c r="G223" i="3"/>
  <c r="I216" i="3"/>
  <c r="I215" i="3"/>
  <c r="I214" i="3"/>
  <c r="I213" i="3"/>
  <c r="I212" i="3"/>
  <c r="L211" i="3"/>
  <c r="I210" i="3"/>
  <c r="I208" i="3"/>
  <c r="I204" i="3"/>
  <c r="H204" i="3"/>
  <c r="G204" i="3"/>
  <c r="F204" i="3"/>
  <c r="E204" i="3"/>
  <c r="D204" i="3"/>
  <c r="I195" i="3"/>
  <c r="H195" i="3"/>
  <c r="G195" i="3"/>
  <c r="F195" i="3"/>
  <c r="E195" i="3"/>
  <c r="D195" i="3"/>
  <c r="F176" i="3"/>
  <c r="H175" i="3"/>
  <c r="H174" i="3"/>
  <c r="H173" i="3"/>
  <c r="F170" i="3"/>
  <c r="H169" i="3"/>
  <c r="H168" i="3"/>
  <c r="H167" i="3"/>
  <c r="F158" i="3"/>
  <c r="H157" i="3"/>
  <c r="H156" i="3"/>
  <c r="H155" i="3"/>
  <c r="H154" i="3"/>
  <c r="F139" i="3"/>
  <c r="H138" i="3"/>
  <c r="H137" i="3"/>
  <c r="H32" i="20"/>
  <c r="H129" i="3"/>
  <c r="H128" i="3"/>
  <c r="H127" i="3"/>
  <c r="F109" i="3"/>
  <c r="H108" i="3"/>
  <c r="H107" i="3"/>
  <c r="H106" i="3"/>
  <c r="F101" i="3"/>
  <c r="H100" i="3"/>
  <c r="H94" i="3"/>
  <c r="O28" i="3"/>
  <c r="L38" i="9" s="1"/>
  <c r="O27" i="3"/>
  <c r="L37" i="9" s="1"/>
  <c r="O26" i="3"/>
  <c r="L36" i="9" s="1"/>
  <c r="O25" i="3"/>
  <c r="L35" i="9" s="1"/>
  <c r="O24" i="3"/>
  <c r="L34" i="9" s="1"/>
  <c r="O23" i="3"/>
  <c r="L33" i="9" s="1"/>
  <c r="O22" i="3"/>
  <c r="L32" i="9" s="1"/>
  <c r="O21" i="3"/>
  <c r="L31" i="9" s="1"/>
  <c r="O20" i="3"/>
  <c r="L30" i="9" s="1"/>
  <c r="O19" i="3"/>
  <c r="L29" i="9" s="1"/>
  <c r="O18" i="3"/>
  <c r="L28" i="9" s="1"/>
  <c r="O17" i="3"/>
  <c r="L27" i="9" s="1"/>
  <c r="O16" i="3"/>
  <c r="L26" i="9" s="1"/>
  <c r="O15" i="3"/>
  <c r="L25" i="9" s="1"/>
  <c r="O14" i="3"/>
  <c r="L24" i="9" s="1"/>
  <c r="O13" i="3"/>
  <c r="L23" i="9" s="1"/>
  <c r="O12" i="3"/>
  <c r="L22" i="9" s="1"/>
  <c r="O11" i="3"/>
  <c r="L21" i="9" s="1"/>
  <c r="O10" i="3"/>
  <c r="L20" i="9" s="1"/>
  <c r="O9" i="3"/>
  <c r="C129" i="51"/>
  <c r="C128" i="51"/>
  <c r="D221" i="16"/>
  <c r="C61" i="16"/>
  <c r="G13" i="5"/>
  <c r="J58" i="9"/>
  <c r="E57" i="9"/>
  <c r="J52" i="9"/>
  <c r="J51" i="9"/>
  <c r="J50" i="9"/>
  <c r="E51" i="9"/>
  <c r="J49" i="9"/>
  <c r="E50" i="9"/>
  <c r="E49" i="9"/>
  <c r="E48" i="9"/>
  <c r="C45" i="9"/>
  <c r="M16" i="9"/>
  <c r="I16" i="9"/>
  <c r="D16" i="9"/>
  <c r="D15" i="9"/>
  <c r="I14" i="9"/>
  <c r="D14" i="9"/>
  <c r="I13" i="9"/>
  <c r="D13" i="9"/>
  <c r="M12" i="9"/>
  <c r="I12" i="9"/>
  <c r="M11" i="9"/>
  <c r="M10" i="9"/>
  <c r="I10" i="9"/>
  <c r="D9" i="9"/>
  <c r="C31" i="20"/>
  <c r="C27" i="20"/>
  <c r="C13" i="20"/>
  <c r="H11" i="20"/>
  <c r="C10" i="20"/>
  <c r="H7" i="20"/>
  <c r="C3" i="20"/>
  <c r="C36" i="51" l="1"/>
  <c r="M51" i="9"/>
  <c r="G38" i="8"/>
  <c r="L19" i="9"/>
  <c r="C81" i="8"/>
  <c r="D81" i="8" s="1"/>
  <c r="E81" i="8" s="1"/>
  <c r="F81" i="8" s="1"/>
  <c r="G81" i="8" s="1"/>
  <c r="H81" i="8" s="1"/>
  <c r="I81" i="8" s="1"/>
  <c r="J81" i="8" s="1"/>
  <c r="K81" i="8" s="1"/>
  <c r="L81" i="8" s="1"/>
  <c r="M81" i="8" s="1"/>
  <c r="N81" i="8" s="1"/>
  <c r="O81" i="8" s="1"/>
  <c r="P81" i="8" s="1"/>
  <c r="Q81" i="8" s="1"/>
  <c r="R81" i="8" s="1"/>
  <c r="S81" i="8" s="1"/>
  <c r="T81" i="8" s="1"/>
  <c r="U81" i="8" s="1"/>
  <c r="V81" i="8" s="1"/>
  <c r="W81" i="8" s="1"/>
  <c r="X81" i="8" s="1"/>
  <c r="Y81" i="8" s="1"/>
  <c r="Z81" i="8" s="1"/>
  <c r="AA81" i="8" s="1"/>
  <c r="AB81" i="8" s="1"/>
  <c r="AC81" i="8" s="1"/>
  <c r="AD81" i="8" s="1"/>
  <c r="AE81" i="8" s="1"/>
  <c r="AF81" i="8" s="1"/>
  <c r="C295" i="51"/>
  <c r="H34" i="20"/>
  <c r="C346" i="51"/>
  <c r="H33" i="20"/>
  <c r="C328" i="51"/>
  <c r="C82" i="8"/>
  <c r="D82" i="8" s="1"/>
  <c r="E82" i="8" s="1"/>
  <c r="F82" i="8" s="1"/>
  <c r="G82" i="8" s="1"/>
  <c r="H82" i="8" s="1"/>
  <c r="I82" i="8" s="1"/>
  <c r="J82" i="8" s="1"/>
  <c r="K82" i="8" s="1"/>
  <c r="L82" i="8" s="1"/>
  <c r="M82" i="8" s="1"/>
  <c r="N82" i="8" s="1"/>
  <c r="O82" i="8" s="1"/>
  <c r="P82" i="8" s="1"/>
  <c r="Q82" i="8" s="1"/>
  <c r="R82" i="8" s="1"/>
  <c r="S82" i="8" s="1"/>
  <c r="T82" i="8" s="1"/>
  <c r="U82" i="8" s="1"/>
  <c r="V82" i="8" s="1"/>
  <c r="W82" i="8" s="1"/>
  <c r="X82" i="8" s="1"/>
  <c r="Y82" i="8" s="1"/>
  <c r="Z82" i="8" s="1"/>
  <c r="AA82" i="8" s="1"/>
  <c r="AB82" i="8" s="1"/>
  <c r="AC82" i="8" s="1"/>
  <c r="AD82" i="8" s="1"/>
  <c r="AE82" i="8" s="1"/>
  <c r="AF82" i="8" s="1"/>
  <c r="C302" i="51"/>
  <c r="H35" i="20"/>
  <c r="C357" i="51"/>
  <c r="F178" i="16"/>
  <c r="D68" i="11"/>
  <c r="H42" i="11"/>
  <c r="D70" i="11"/>
  <c r="I76" i="11"/>
  <c r="I77" i="11" s="1"/>
  <c r="D69" i="11"/>
  <c r="L275" i="3"/>
  <c r="M275" i="3" s="1"/>
  <c r="D15" i="37"/>
  <c r="G41" i="8"/>
  <c r="G45" i="8"/>
  <c r="G49" i="8"/>
  <c r="G53" i="8"/>
  <c r="I499" i="3"/>
  <c r="J499" i="3" s="1"/>
  <c r="G501" i="3"/>
  <c r="G46" i="8"/>
  <c r="G50" i="8"/>
  <c r="G54" i="8"/>
  <c r="G55" i="8"/>
  <c r="G42" i="8"/>
  <c r="G39" i="8"/>
  <c r="G43" i="8"/>
  <c r="G47" i="8"/>
  <c r="G51" i="8"/>
  <c r="C239" i="51"/>
  <c r="G56" i="8"/>
  <c r="G40" i="8"/>
  <c r="G48" i="8"/>
  <c r="G52" i="8"/>
  <c r="G44" i="8"/>
  <c r="G57" i="8"/>
  <c r="C272" i="51"/>
  <c r="C260" i="51"/>
  <c r="E7" i="5"/>
  <c r="K139" i="8" s="1"/>
  <c r="F129" i="8"/>
  <c r="Q332" i="3"/>
  <c r="C215" i="51" s="1"/>
  <c r="I442" i="3"/>
  <c r="J442" i="3" s="1"/>
  <c r="J194" i="3"/>
  <c r="I432" i="3"/>
  <c r="J432" i="3" s="1"/>
  <c r="I476" i="3"/>
  <c r="J476" i="3" s="1"/>
  <c r="I483" i="3"/>
  <c r="J483" i="3" s="1"/>
  <c r="H36" i="20"/>
  <c r="C362" i="51"/>
  <c r="H13" i="5"/>
  <c r="K195" i="3"/>
  <c r="L195" i="3" s="1"/>
  <c r="C284" i="51" s="1"/>
  <c r="L268" i="3"/>
  <c r="M268" i="3" s="1"/>
  <c r="L304" i="3"/>
  <c r="C34" i="37" s="1"/>
  <c r="L274" i="3"/>
  <c r="L297" i="3"/>
  <c r="M297" i="3" s="1"/>
  <c r="L310" i="3"/>
  <c r="M310" i="3" s="1"/>
  <c r="L305" i="3"/>
  <c r="C35" i="37" s="1"/>
  <c r="L322" i="3"/>
  <c r="M322" i="3" s="1"/>
  <c r="L296" i="3"/>
  <c r="M296" i="3" s="1"/>
  <c r="P25" i="3"/>
  <c r="M35" i="9" s="1"/>
  <c r="P13" i="3"/>
  <c r="M23" i="9" s="1"/>
  <c r="P19" i="3"/>
  <c r="M29" i="9" s="1"/>
  <c r="P27" i="3"/>
  <c r="M37" i="9" s="1"/>
  <c r="P24" i="3"/>
  <c r="M34" i="9" s="1"/>
  <c r="J142" i="8"/>
  <c r="P17" i="3"/>
  <c r="M27" i="9" s="1"/>
  <c r="P15" i="3"/>
  <c r="M25" i="9" s="1"/>
  <c r="L289" i="3"/>
  <c r="M289" i="3" s="1"/>
  <c r="L253" i="3"/>
  <c r="M253" i="3" s="1"/>
  <c r="P22" i="3"/>
  <c r="M32" i="9" s="1"/>
  <c r="L272" i="3"/>
  <c r="M272" i="3" s="1"/>
  <c r="L285" i="3"/>
  <c r="L298" i="3"/>
  <c r="M298" i="3" s="1"/>
  <c r="L319" i="3"/>
  <c r="C131" i="51"/>
  <c r="F178" i="3"/>
  <c r="C363" i="51" s="1"/>
  <c r="P20" i="3"/>
  <c r="M30" i="9" s="1"/>
  <c r="P26" i="3"/>
  <c r="M36" i="9" s="1"/>
  <c r="P16" i="3"/>
  <c r="M26" i="9" s="1"/>
  <c r="L281" i="3"/>
  <c r="M281" i="3" s="1"/>
  <c r="L286" i="3"/>
  <c r="M286" i="3" s="1"/>
  <c r="L320" i="3"/>
  <c r="M320" i="3" s="1"/>
  <c r="I493" i="3"/>
  <c r="P23" i="3"/>
  <c r="M33" i="9" s="1"/>
  <c r="L277" i="3"/>
  <c r="M277" i="3" s="1"/>
  <c r="L321" i="3"/>
  <c r="H501" i="3"/>
  <c r="L257" i="3"/>
  <c r="F501" i="3"/>
  <c r="J445" i="3"/>
  <c r="P18" i="3"/>
  <c r="M28" i="9" s="1"/>
  <c r="J486" i="3"/>
  <c r="F332" i="3"/>
  <c r="M271" i="3"/>
  <c r="L291" i="3"/>
  <c r="M291" i="3" s="1"/>
  <c r="C251" i="51"/>
  <c r="P12" i="3"/>
  <c r="M22" i="9" s="1"/>
  <c r="L264" i="3"/>
  <c r="M264" i="3" s="1"/>
  <c r="L269" i="3"/>
  <c r="M269" i="3" s="1"/>
  <c r="L293" i="3"/>
  <c r="M293" i="3" s="1"/>
  <c r="L303" i="3"/>
  <c r="C33" i="37" s="1"/>
  <c r="L307" i="3"/>
  <c r="M307" i="3" s="1"/>
  <c r="L315" i="3"/>
  <c r="M315" i="3" s="1"/>
  <c r="L313" i="3"/>
  <c r="M313" i="3" s="1"/>
  <c r="L284" i="3"/>
  <c r="L300" i="3"/>
  <c r="M300" i="3" s="1"/>
  <c r="M276" i="3"/>
  <c r="L258" i="3"/>
  <c r="M258" i="3" s="1"/>
  <c r="L255" i="3"/>
  <c r="M255" i="3" s="1"/>
  <c r="C229" i="51"/>
  <c r="L301" i="3"/>
  <c r="M301" i="3" s="1"/>
  <c r="L314" i="3"/>
  <c r="L317" i="3"/>
  <c r="M317" i="3" s="1"/>
  <c r="J48" i="8"/>
  <c r="J54" i="8"/>
  <c r="F353" i="3"/>
  <c r="F358" i="3"/>
  <c r="M292" i="3"/>
  <c r="M267" i="3"/>
  <c r="F356" i="3"/>
  <c r="F349" i="3"/>
  <c r="F366" i="3"/>
  <c r="M270" i="3"/>
  <c r="M316" i="3"/>
  <c r="L252" i="3"/>
  <c r="L254" i="3"/>
  <c r="M254" i="3" s="1"/>
  <c r="L262" i="3"/>
  <c r="M262" i="3" s="1"/>
  <c r="L287" i="3"/>
  <c r="M287" i="3" s="1"/>
  <c r="L290" i="3"/>
  <c r="M290" i="3" s="1"/>
  <c r="L294" i="3"/>
  <c r="M294" i="3" s="1"/>
  <c r="L308" i="3"/>
  <c r="M308" i="3" s="1"/>
  <c r="C236" i="51"/>
  <c r="P14" i="3"/>
  <c r="M24" i="9" s="1"/>
  <c r="C273" i="51"/>
  <c r="M282" i="3"/>
  <c r="P21" i="3"/>
  <c r="M31" i="9" s="1"/>
  <c r="P28" i="3"/>
  <c r="M38" i="9" s="1"/>
  <c r="F402" i="3"/>
  <c r="C232" i="51"/>
  <c r="L260" i="3"/>
  <c r="M260" i="3" s="1"/>
  <c r="J47" i="8"/>
  <c r="J55" i="8"/>
  <c r="B45" i="9"/>
  <c r="C242" i="51"/>
  <c r="L279" i="3"/>
  <c r="M279" i="3" s="1"/>
  <c r="L283" i="3"/>
  <c r="M283" i="3" s="1"/>
  <c r="C243" i="51"/>
  <c r="L280" i="3"/>
  <c r="M280" i="3" s="1"/>
  <c r="L278" i="3"/>
  <c r="L302" i="3"/>
  <c r="L309" i="3"/>
  <c r="C37" i="37" s="1"/>
  <c r="L295" i="3"/>
  <c r="L263" i="3"/>
  <c r="M263" i="3" s="1"/>
  <c r="L259" i="3"/>
  <c r="M259" i="3" s="1"/>
  <c r="L311" i="3"/>
  <c r="M311" i="3" s="1"/>
  <c r="L306" i="3"/>
  <c r="C36" i="37" s="1"/>
  <c r="L261" i="3"/>
  <c r="M261" i="3" s="1"/>
  <c r="L265" i="3"/>
  <c r="M265" i="3" s="1"/>
  <c r="F392" i="3"/>
  <c r="F391" i="3"/>
  <c r="F390" i="3"/>
  <c r="F388" i="3"/>
  <c r="F386" i="3"/>
  <c r="F385" i="3"/>
  <c r="F383" i="3"/>
  <c r="F382" i="3"/>
  <c r="F381" i="3"/>
  <c r="F346" i="3"/>
  <c r="F344" i="3"/>
  <c r="F343" i="3"/>
  <c r="F342" i="3"/>
  <c r="F341" i="3"/>
  <c r="F340" i="3"/>
  <c r="F338" i="3"/>
  <c r="C11" i="5"/>
  <c r="C23" i="5" s="1"/>
  <c r="J324" i="3"/>
  <c r="C25" i="37" s="1"/>
  <c r="C179" i="16"/>
  <c r="D179" i="16"/>
  <c r="D180" i="16" s="1"/>
  <c r="D11" i="5"/>
  <c r="I247" i="3"/>
  <c r="I217" i="3"/>
  <c r="P11" i="3"/>
  <c r="M21" i="9" s="1"/>
  <c r="C22" i="20"/>
  <c r="P10" i="3"/>
  <c r="M20" i="9" s="1"/>
  <c r="G116" i="3"/>
  <c r="G100" i="3"/>
  <c r="G124" i="3"/>
  <c r="G163" i="3"/>
  <c r="G143" i="3"/>
  <c r="K426" i="3"/>
  <c r="K437" i="3"/>
  <c r="K448" i="3"/>
  <c r="G151" i="3"/>
  <c r="K456" i="3"/>
  <c r="G169" i="3"/>
  <c r="K464" i="3"/>
  <c r="K472" i="3"/>
  <c r="K486" i="3"/>
  <c r="G137" i="3"/>
  <c r="G107" i="3"/>
  <c r="G117" i="3"/>
  <c r="G125" i="3"/>
  <c r="G144" i="3"/>
  <c r="G152" i="3"/>
  <c r="G157" i="3"/>
  <c r="G164" i="3"/>
  <c r="G175" i="3"/>
  <c r="K429" i="3"/>
  <c r="K440" i="3"/>
  <c r="K451" i="3"/>
  <c r="K459" i="3"/>
  <c r="K467" i="3"/>
  <c r="K475" i="3"/>
  <c r="K489" i="3"/>
  <c r="K495" i="3"/>
  <c r="G118" i="3"/>
  <c r="G126" i="3"/>
  <c r="G138" i="3"/>
  <c r="G145" i="3"/>
  <c r="G153" i="3"/>
  <c r="G165" i="3"/>
  <c r="K424" i="3"/>
  <c r="K435" i="3"/>
  <c r="K446" i="3"/>
  <c r="K454" i="3"/>
  <c r="K462" i="3"/>
  <c r="K470" i="3"/>
  <c r="K481" i="3"/>
  <c r="K492" i="3"/>
  <c r="K498" i="3"/>
  <c r="G108" i="3"/>
  <c r="G119" i="3"/>
  <c r="G127" i="3"/>
  <c r="G132" i="3"/>
  <c r="G146" i="3"/>
  <c r="G154" i="3"/>
  <c r="G166" i="3"/>
  <c r="K427" i="3"/>
  <c r="K438" i="3"/>
  <c r="K449" i="3"/>
  <c r="K457" i="3"/>
  <c r="K465" i="3"/>
  <c r="K473" i="3"/>
  <c r="K487" i="3"/>
  <c r="G103" i="3"/>
  <c r="G120" i="3"/>
  <c r="G133" i="3"/>
  <c r="G147" i="3"/>
  <c r="G167" i="3"/>
  <c r="G172" i="3"/>
  <c r="J32" i="8" s="1"/>
  <c r="K430" i="3"/>
  <c r="K441" i="3"/>
  <c r="K452" i="3"/>
  <c r="K460" i="3"/>
  <c r="K468" i="3"/>
  <c r="K479" i="3"/>
  <c r="K490" i="3"/>
  <c r="K496" i="3"/>
  <c r="P9" i="3"/>
  <c r="M19" i="9" s="1"/>
  <c r="G104" i="3"/>
  <c r="G121" i="3"/>
  <c r="G128" i="3"/>
  <c r="G134" i="3"/>
  <c r="G148" i="3"/>
  <c r="G155" i="3"/>
  <c r="G160" i="3"/>
  <c r="G173" i="3"/>
  <c r="K425" i="3"/>
  <c r="K436" i="3"/>
  <c r="K447" i="3"/>
  <c r="K455" i="3"/>
  <c r="K463" i="3"/>
  <c r="K471" i="3"/>
  <c r="K482" i="3"/>
  <c r="G98" i="3"/>
  <c r="G105" i="3"/>
  <c r="G122" i="3"/>
  <c r="G135" i="3"/>
  <c r="G141" i="3"/>
  <c r="G149" i="3"/>
  <c r="G161" i="3"/>
  <c r="G168" i="3"/>
  <c r="K428" i="3"/>
  <c r="K439" i="3"/>
  <c r="K450" i="3"/>
  <c r="K458" i="3"/>
  <c r="K466" i="3"/>
  <c r="K474" i="3"/>
  <c r="K488" i="3"/>
  <c r="C27" i="5"/>
  <c r="I149" i="8" s="1"/>
  <c r="F86" i="3"/>
  <c r="G99" i="3"/>
  <c r="G106" i="3"/>
  <c r="G115" i="3"/>
  <c r="G123" i="3"/>
  <c r="G129" i="3"/>
  <c r="G136" i="3"/>
  <c r="G142" i="3"/>
  <c r="G150" i="3"/>
  <c r="G156" i="3"/>
  <c r="G162" i="3"/>
  <c r="G174" i="3"/>
  <c r="K423" i="3"/>
  <c r="K431" i="3"/>
  <c r="K445" i="3"/>
  <c r="K453" i="3"/>
  <c r="K461" i="3"/>
  <c r="K469" i="3"/>
  <c r="K480" i="3"/>
  <c r="K491" i="3"/>
  <c r="K497" i="3"/>
  <c r="G16" i="5"/>
  <c r="C15" i="20"/>
  <c r="C17" i="20"/>
  <c r="C16" i="20"/>
  <c r="C29" i="37" l="1"/>
  <c r="D327" i="3"/>
  <c r="D326" i="3"/>
  <c r="D27" i="20"/>
  <c r="D26" i="20"/>
  <c r="D25" i="20"/>
  <c r="D24" i="20"/>
  <c r="F179" i="16"/>
  <c r="K432" i="3"/>
  <c r="K476" i="3"/>
  <c r="I477" i="3"/>
  <c r="K442" i="3"/>
  <c r="I500" i="3"/>
  <c r="K499" i="3"/>
  <c r="Q405" i="3"/>
  <c r="C180" i="16"/>
  <c r="F180" i="16" s="1"/>
  <c r="H43" i="8"/>
  <c r="H47" i="8"/>
  <c r="H52" i="8"/>
  <c r="H48" i="8"/>
  <c r="D328" i="3"/>
  <c r="E328" i="3" s="1"/>
  <c r="H42" i="8"/>
  <c r="H41" i="8"/>
  <c r="H44" i="8"/>
  <c r="H54" i="8"/>
  <c r="H39" i="8"/>
  <c r="H46" i="8"/>
  <c r="M257" i="3"/>
  <c r="H40" i="8"/>
  <c r="H57" i="8"/>
  <c r="H45" i="8"/>
  <c r="H50" i="8"/>
  <c r="H55" i="8"/>
  <c r="H53" i="8"/>
  <c r="H49" i="8"/>
  <c r="H51" i="8"/>
  <c r="H56" i="8"/>
  <c r="E11" i="5"/>
  <c r="M285" i="3"/>
  <c r="M304" i="3"/>
  <c r="I443" i="3"/>
  <c r="J443" i="3" s="1"/>
  <c r="M284" i="3"/>
  <c r="M274" i="3"/>
  <c r="I433" i="3"/>
  <c r="J433" i="3" s="1"/>
  <c r="K483" i="3"/>
  <c r="L251" i="3"/>
  <c r="I484" i="3"/>
  <c r="J484" i="3" s="1"/>
  <c r="J62" i="8"/>
  <c r="J63" i="8"/>
  <c r="J59" i="8"/>
  <c r="J61" i="8"/>
  <c r="J60" i="8"/>
  <c r="J58" i="8"/>
  <c r="J149" i="8"/>
  <c r="I143" i="8"/>
  <c r="F19" i="5"/>
  <c r="K149" i="8"/>
  <c r="D329" i="3"/>
  <c r="F87" i="3"/>
  <c r="C27" i="37"/>
  <c r="C26" i="37"/>
  <c r="J143" i="8"/>
  <c r="C32" i="37"/>
  <c r="J50" i="8"/>
  <c r="J56" i="8"/>
  <c r="J51" i="8"/>
  <c r="J52" i="8"/>
  <c r="J57" i="8"/>
  <c r="J49" i="8"/>
  <c r="J53" i="8"/>
  <c r="M305" i="3"/>
  <c r="J29" i="8"/>
  <c r="C87" i="8" s="1"/>
  <c r="H38" i="8"/>
  <c r="D10" i="11"/>
  <c r="M319" i="3"/>
  <c r="M61" i="9"/>
  <c r="C130" i="51"/>
  <c r="H37" i="20"/>
  <c r="M303" i="3"/>
  <c r="M309" i="3"/>
  <c r="M321" i="3"/>
  <c r="M60" i="9"/>
  <c r="M58" i="9"/>
  <c r="M302" i="3"/>
  <c r="M56" i="9"/>
  <c r="M295" i="3"/>
  <c r="M55" i="9"/>
  <c r="M252" i="3"/>
  <c r="M57" i="9"/>
  <c r="M278" i="3"/>
  <c r="M59" i="9"/>
  <c r="M306" i="3"/>
  <c r="I146" i="8"/>
  <c r="I148" i="8" s="1"/>
  <c r="I151" i="8" s="1"/>
  <c r="I153" i="8" s="1"/>
  <c r="D15" i="5"/>
  <c r="G22" i="5"/>
  <c r="G101" i="3"/>
  <c r="C35" i="51"/>
  <c r="G94" i="3"/>
  <c r="G93" i="3"/>
  <c r="G92" i="3"/>
  <c r="G91" i="3"/>
  <c r="G109" i="3"/>
  <c r="G170" i="3"/>
  <c r="G130" i="3"/>
  <c r="G176" i="3"/>
  <c r="G139" i="3"/>
  <c r="G158" i="3"/>
  <c r="C10" i="37" l="1"/>
  <c r="C11" i="37" s="1"/>
  <c r="D11" i="37" s="1"/>
  <c r="E14" i="11"/>
  <c r="E17" i="11"/>
  <c r="E16" i="11"/>
  <c r="E15" i="11"/>
  <c r="C281" i="51"/>
  <c r="K143" i="8"/>
  <c r="F20" i="5"/>
  <c r="J23" i="8"/>
  <c r="D129" i="8"/>
  <c r="F18" i="5"/>
  <c r="F11" i="5"/>
  <c r="C368" i="51" s="1"/>
  <c r="E15" i="5"/>
  <c r="F15" i="5" s="1"/>
  <c r="F17" i="5"/>
  <c r="C279" i="51"/>
  <c r="C280" i="51"/>
  <c r="L324" i="3"/>
  <c r="M54" i="9"/>
  <c r="I501" i="3"/>
  <c r="M251" i="3"/>
  <c r="F21" i="5"/>
  <c r="G7" i="37"/>
  <c r="G8" i="37"/>
  <c r="C28" i="37"/>
  <c r="C41" i="37"/>
  <c r="C44" i="37" s="1"/>
  <c r="C38" i="37"/>
  <c r="D87" i="8"/>
  <c r="D23" i="5"/>
  <c r="J146" i="8" s="1"/>
  <c r="J148" i="8" s="1"/>
  <c r="J151" i="8" s="1"/>
  <c r="J153" i="8" s="1"/>
  <c r="C29" i="5"/>
  <c r="C33" i="5" s="1"/>
  <c r="C39" i="5" s="1"/>
  <c r="G178" i="3"/>
  <c r="J30" i="8" s="1"/>
  <c r="C148" i="8" l="1"/>
  <c r="C149" i="8" s="1"/>
  <c r="C150" i="8" s="1"/>
  <c r="J24" i="8"/>
  <c r="C70" i="51"/>
  <c r="C71" i="51"/>
  <c r="D38" i="37"/>
  <c r="C39" i="37"/>
  <c r="D39" i="37" s="1"/>
  <c r="C364" i="51"/>
  <c r="C370" i="51"/>
  <c r="C372" i="51"/>
  <c r="C373" i="51"/>
  <c r="C369" i="51"/>
  <c r="C371" i="51"/>
  <c r="C367" i="51"/>
  <c r="E23" i="5"/>
  <c r="E29" i="5" s="1"/>
  <c r="E33" i="5" s="1"/>
  <c r="E39" i="5" s="1"/>
  <c r="C157" i="8"/>
  <c r="C132" i="51"/>
  <c r="D126" i="8"/>
  <c r="D128" i="8"/>
  <c r="D127" i="8"/>
  <c r="E87" i="8"/>
  <c r="M62" i="9"/>
  <c r="D16" i="37"/>
  <c r="C152" i="8"/>
  <c r="C154" i="8" s="1"/>
  <c r="C155" i="8" s="1"/>
  <c r="C43" i="51"/>
  <c r="G136" i="8"/>
  <c r="B13" i="8"/>
  <c r="D29" i="5"/>
  <c r="D33" i="5" s="1"/>
  <c r="D39" i="5" s="1"/>
  <c r="C41" i="5" l="1"/>
  <c r="C43" i="5" s="1"/>
  <c r="C158" i="8"/>
  <c r="K146" i="8"/>
  <c r="K148" i="8" s="1"/>
  <c r="K151" i="8" s="1"/>
  <c r="K153" i="8" s="1"/>
  <c r="I154" i="8" s="1"/>
  <c r="I155" i="8" s="1"/>
  <c r="F87" i="8"/>
  <c r="D20" i="37"/>
  <c r="C22" i="37" s="1"/>
  <c r="C45" i="51"/>
  <c r="J46" i="8"/>
  <c r="J45" i="8"/>
  <c r="J44" i="8"/>
  <c r="J41" i="8"/>
  <c r="I136" i="8"/>
  <c r="D13" i="8"/>
  <c r="H136" i="8"/>
  <c r="C13" i="8"/>
  <c r="J43" i="8"/>
  <c r="J39" i="8"/>
  <c r="J40" i="8"/>
  <c r="J38" i="8"/>
  <c r="J42" i="8"/>
  <c r="C44" i="51"/>
  <c r="I314" i="3" l="1"/>
  <c r="I324" i="3" s="1"/>
  <c r="M48" i="9"/>
  <c r="C36" i="20"/>
  <c r="C42" i="51"/>
  <c r="C29" i="20"/>
  <c r="C45" i="5"/>
  <c r="C43" i="37"/>
  <c r="C65" i="51"/>
  <c r="G87" i="8"/>
  <c r="J136" i="8"/>
  <c r="I156" i="8" s="1"/>
  <c r="E13" i="8"/>
  <c r="C16" i="8" s="1"/>
  <c r="D16" i="8" s="1"/>
  <c r="K314" i="3" l="1"/>
  <c r="K324" i="3" s="1"/>
  <c r="M324" i="3" s="1"/>
  <c r="C17" i="8"/>
  <c r="D17" i="8" s="1"/>
  <c r="B20" i="8" s="1"/>
  <c r="M49" i="9"/>
  <c r="K136" i="8"/>
  <c r="H87" i="8"/>
  <c r="P45" i="3"/>
  <c r="M314" i="3" l="1"/>
  <c r="F395" i="3"/>
  <c r="C56" i="5"/>
  <c r="E136" i="8"/>
  <c r="I87" i="8"/>
  <c r="F90" i="3"/>
  <c r="H74" i="8"/>
  <c r="C78" i="8" s="1"/>
  <c r="C83" i="8" s="1"/>
  <c r="C85" i="8" s="1"/>
  <c r="C108" i="8" s="1"/>
  <c r="M45" i="9"/>
  <c r="C285" i="51" l="1"/>
  <c r="G90" i="3"/>
  <c r="C37" i="51"/>
  <c r="M50" i="9"/>
  <c r="J87" i="8"/>
  <c r="C92" i="8"/>
  <c r="F95" i="3"/>
  <c r="C290" i="51" s="1"/>
  <c r="D78" i="8"/>
  <c r="E78" i="8" s="1"/>
  <c r="C120" i="8" l="1"/>
  <c r="C96" i="8"/>
  <c r="C104" i="8"/>
  <c r="C119" i="8"/>
  <c r="K87" i="8"/>
  <c r="F96" i="3"/>
  <c r="C105" i="8"/>
  <c r="G95" i="3"/>
  <c r="G96" i="3" s="1"/>
  <c r="G111" i="3" s="1"/>
  <c r="D83" i="8"/>
  <c r="D85" i="8" s="1"/>
  <c r="D108" i="8" s="1"/>
  <c r="F78" i="8"/>
  <c r="E83" i="8"/>
  <c r="E85" i="8" s="1"/>
  <c r="E108" i="8" s="1"/>
  <c r="G180" i="3" l="1"/>
  <c r="C366" i="51" s="1"/>
  <c r="C304" i="51"/>
  <c r="F111" i="3"/>
  <c r="C291" i="51"/>
  <c r="C115" i="8"/>
  <c r="C118" i="8"/>
  <c r="L87" i="8"/>
  <c r="E92" i="8"/>
  <c r="D92" i="8"/>
  <c r="D105" i="8" s="1"/>
  <c r="C107" i="8"/>
  <c r="F83" i="8"/>
  <c r="F85" i="8" s="1"/>
  <c r="F108" i="8" s="1"/>
  <c r="G78" i="8"/>
  <c r="E100" i="8" l="1"/>
  <c r="E101" i="8"/>
  <c r="D100" i="8"/>
  <c r="D101" i="8"/>
  <c r="H38" i="20"/>
  <c r="C303" i="51"/>
  <c r="F180" i="3"/>
  <c r="H39" i="20" s="1"/>
  <c r="D104" i="8"/>
  <c r="D119" i="8"/>
  <c r="E105" i="8"/>
  <c r="E119" i="8"/>
  <c r="E97" i="8"/>
  <c r="E98" i="8"/>
  <c r="E99" i="8"/>
  <c r="D99" i="8"/>
  <c r="E96" i="8"/>
  <c r="E104" i="8"/>
  <c r="M87" i="8"/>
  <c r="D97" i="8"/>
  <c r="D98" i="8"/>
  <c r="F92" i="8"/>
  <c r="D96" i="8"/>
  <c r="G83" i="8"/>
  <c r="G85" i="8" s="1"/>
  <c r="G108" i="8" s="1"/>
  <c r="H78" i="8"/>
  <c r="F101" i="8" l="1"/>
  <c r="F100" i="8"/>
  <c r="C365" i="51"/>
  <c r="D118" i="8"/>
  <c r="F105" i="8"/>
  <c r="F119" i="8"/>
  <c r="E118" i="8"/>
  <c r="N87" i="8"/>
  <c r="D107" i="8"/>
  <c r="E115" i="8"/>
  <c r="F99" i="8"/>
  <c r="E107" i="8"/>
  <c r="F104" i="8"/>
  <c r="F98" i="8"/>
  <c r="F97" i="8"/>
  <c r="F96" i="8"/>
  <c r="D115" i="8"/>
  <c r="G92" i="8"/>
  <c r="I78" i="8"/>
  <c r="H83" i="8"/>
  <c r="H85" i="8" s="1"/>
  <c r="H108" i="8" s="1"/>
  <c r="G100" i="8" l="1"/>
  <c r="G101" i="8"/>
  <c r="G105" i="8"/>
  <c r="G119" i="8"/>
  <c r="F118" i="8"/>
  <c r="O87" i="8"/>
  <c r="F107" i="8"/>
  <c r="G99" i="8"/>
  <c r="F115" i="8"/>
  <c r="G104" i="8"/>
  <c r="G96" i="8"/>
  <c r="G98" i="8"/>
  <c r="G97" i="8"/>
  <c r="H92" i="8"/>
  <c r="J78" i="8"/>
  <c r="I83" i="8"/>
  <c r="I85" i="8" s="1"/>
  <c r="I108" i="8" s="1"/>
  <c r="H101" i="8" l="1"/>
  <c r="H100" i="8"/>
  <c r="H105" i="8"/>
  <c r="H119" i="8"/>
  <c r="G118" i="8"/>
  <c r="P87" i="8"/>
  <c r="G115" i="8"/>
  <c r="G107" i="8"/>
  <c r="H104" i="8"/>
  <c r="H96" i="8"/>
  <c r="H98" i="8"/>
  <c r="H97" i="8"/>
  <c r="H99" i="8"/>
  <c r="I92" i="8"/>
  <c r="J83" i="8"/>
  <c r="J85" i="8" s="1"/>
  <c r="J108" i="8" s="1"/>
  <c r="K78" i="8"/>
  <c r="I100" i="8" l="1"/>
  <c r="I101" i="8"/>
  <c r="I105" i="8"/>
  <c r="I119" i="8"/>
  <c r="H118" i="8"/>
  <c r="Q87" i="8"/>
  <c r="H115" i="8"/>
  <c r="I98" i="8"/>
  <c r="H107" i="8"/>
  <c r="I99" i="8"/>
  <c r="I104" i="8"/>
  <c r="I97" i="8"/>
  <c r="I96" i="8"/>
  <c r="J92" i="8"/>
  <c r="L78" i="8"/>
  <c r="K83" i="8"/>
  <c r="K85" i="8" s="1"/>
  <c r="K108" i="8" s="1"/>
  <c r="J100" i="8" l="1"/>
  <c r="J101" i="8"/>
  <c r="J105" i="8"/>
  <c r="J119" i="8"/>
  <c r="I118" i="8"/>
  <c r="R87" i="8"/>
  <c r="S87" i="8" s="1"/>
  <c r="T87" i="8" s="1"/>
  <c r="U87" i="8" s="1"/>
  <c r="V87" i="8" s="1"/>
  <c r="W87" i="8" s="1"/>
  <c r="X87" i="8" s="1"/>
  <c r="Y87" i="8" s="1"/>
  <c r="Z87" i="8" s="1"/>
  <c r="AA87" i="8" s="1"/>
  <c r="AB87" i="8" s="1"/>
  <c r="AC87" i="8" s="1"/>
  <c r="AD87" i="8" s="1"/>
  <c r="AE87" i="8" s="1"/>
  <c r="AF87" i="8" s="1"/>
  <c r="I115" i="8"/>
  <c r="I107" i="8"/>
  <c r="K92" i="8"/>
  <c r="J104" i="8"/>
  <c r="J97" i="8"/>
  <c r="J99" i="8"/>
  <c r="J96" i="8"/>
  <c r="J98" i="8"/>
  <c r="M78" i="8"/>
  <c r="L83" i="8"/>
  <c r="L85" i="8" s="1"/>
  <c r="L108" i="8" s="1"/>
  <c r="K100" i="8" l="1"/>
  <c r="K101" i="8"/>
  <c r="K105" i="8"/>
  <c r="K119" i="8"/>
  <c r="J118" i="8"/>
  <c r="K96" i="8"/>
  <c r="K97" i="8"/>
  <c r="K98" i="8"/>
  <c r="K104" i="8"/>
  <c r="K99" i="8"/>
  <c r="J115" i="8"/>
  <c r="J107" i="8"/>
  <c r="L92" i="8"/>
  <c r="M83" i="8"/>
  <c r="M85" i="8" s="1"/>
  <c r="M108" i="8" s="1"/>
  <c r="N78" i="8"/>
  <c r="L100" i="8" l="1"/>
  <c r="L101" i="8"/>
  <c r="L105" i="8"/>
  <c r="L119" i="8"/>
  <c r="K118" i="8"/>
  <c r="K115" i="8"/>
  <c r="K107" i="8"/>
  <c r="L98" i="8"/>
  <c r="L99" i="8"/>
  <c r="L97" i="8"/>
  <c r="L96" i="8"/>
  <c r="L104" i="8"/>
  <c r="M92" i="8"/>
  <c r="O78" i="8"/>
  <c r="N83" i="8"/>
  <c r="N85" i="8" s="1"/>
  <c r="N108" i="8" s="1"/>
  <c r="M101" i="8" l="1"/>
  <c r="M100" i="8"/>
  <c r="M105" i="8"/>
  <c r="M119" i="8"/>
  <c r="L118" i="8"/>
  <c r="L115" i="8"/>
  <c r="M99" i="8"/>
  <c r="M98" i="8"/>
  <c r="M97" i="8"/>
  <c r="M104" i="8"/>
  <c r="L107" i="8"/>
  <c r="M96" i="8"/>
  <c r="N92" i="8"/>
  <c r="P78" i="8"/>
  <c r="O83" i="8"/>
  <c r="O85" i="8" s="1"/>
  <c r="O108" i="8" s="1"/>
  <c r="N101" i="8" l="1"/>
  <c r="N100" i="8"/>
  <c r="N105" i="8"/>
  <c r="N119" i="8"/>
  <c r="N98" i="8"/>
  <c r="N97" i="8"/>
  <c r="M118" i="8"/>
  <c r="N99" i="8"/>
  <c r="M115" i="8"/>
  <c r="M107" i="8"/>
  <c r="N104" i="8"/>
  <c r="N96" i="8"/>
  <c r="O92" i="8"/>
  <c r="P83" i="8"/>
  <c r="P85" i="8" s="1"/>
  <c r="P108" i="8" s="1"/>
  <c r="Q78" i="8"/>
  <c r="O100" i="8" l="1"/>
  <c r="O101" i="8"/>
  <c r="O105" i="8"/>
  <c r="O119" i="8"/>
  <c r="N118" i="8"/>
  <c r="N115" i="8"/>
  <c r="N107" i="8"/>
  <c r="O98" i="8"/>
  <c r="O99" i="8"/>
  <c r="O104" i="8"/>
  <c r="O97" i="8"/>
  <c r="O96" i="8"/>
  <c r="P92" i="8"/>
  <c r="Q83" i="8"/>
  <c r="Q85" i="8" s="1"/>
  <c r="Q108" i="8" s="1"/>
  <c r="R78" i="8"/>
  <c r="P101" i="8" l="1"/>
  <c r="P100" i="8"/>
  <c r="P105" i="8"/>
  <c r="P119" i="8"/>
  <c r="O118" i="8"/>
  <c r="O107" i="8"/>
  <c r="O115" i="8"/>
  <c r="P96" i="8"/>
  <c r="P98" i="8"/>
  <c r="P104" i="8"/>
  <c r="P97" i="8"/>
  <c r="Q92" i="8"/>
  <c r="P99" i="8"/>
  <c r="R83" i="8"/>
  <c r="R85" i="8" s="1"/>
  <c r="R108" i="8" s="1"/>
  <c r="S78" i="8"/>
  <c r="Q100" i="8" l="1"/>
  <c r="Q101" i="8"/>
  <c r="Q105" i="8"/>
  <c r="C122" i="8" s="1"/>
  <c r="Q119" i="8"/>
  <c r="P118" i="8"/>
  <c r="Q96" i="8"/>
  <c r="Q104" i="8"/>
  <c r="Q99" i="8"/>
  <c r="Q97" i="8"/>
  <c r="P107" i="8"/>
  <c r="Q98" i="8"/>
  <c r="P115" i="8"/>
  <c r="R92" i="8"/>
  <c r="S83" i="8"/>
  <c r="S85" i="8" s="1"/>
  <c r="T78" i="8"/>
  <c r="R105" i="8" l="1"/>
  <c r="R100" i="8"/>
  <c r="R101" i="8"/>
  <c r="S92" i="8"/>
  <c r="S108" i="8"/>
  <c r="C123" i="8"/>
  <c r="Q118" i="8"/>
  <c r="Q115" i="8"/>
  <c r="R99" i="8"/>
  <c r="R104" i="8"/>
  <c r="Q107" i="8"/>
  <c r="R97" i="8"/>
  <c r="R98" i="8"/>
  <c r="R96" i="8"/>
  <c r="T83" i="8"/>
  <c r="T85" i="8" s="1"/>
  <c r="U78" i="8"/>
  <c r="S105" i="8" l="1"/>
  <c r="S101" i="8"/>
  <c r="S100" i="8"/>
  <c r="S97" i="8"/>
  <c r="S96" i="8"/>
  <c r="S104" i="8"/>
  <c r="S98" i="8"/>
  <c r="S99" i="8"/>
  <c r="T92" i="8"/>
  <c r="R107" i="8"/>
  <c r="U83" i="8"/>
  <c r="U85" i="8" s="1"/>
  <c r="V78" i="8"/>
  <c r="T102" i="8" l="1"/>
  <c r="T108" i="8" s="1"/>
  <c r="T100" i="8"/>
  <c r="T101" i="8"/>
  <c r="S107" i="8"/>
  <c r="T96" i="8"/>
  <c r="T98" i="8"/>
  <c r="T97" i="8"/>
  <c r="T99" i="8"/>
  <c r="U92" i="8"/>
  <c r="W78" i="8"/>
  <c r="V83" i="8"/>
  <c r="V85" i="8" s="1"/>
  <c r="T104" i="8" l="1"/>
  <c r="U100" i="8"/>
  <c r="U102" i="8"/>
  <c r="U108" i="8" s="1"/>
  <c r="U101" i="8"/>
  <c r="U98" i="8"/>
  <c r="T105" i="8"/>
  <c r="U96" i="8"/>
  <c r="T107" i="8"/>
  <c r="U99" i="8"/>
  <c r="U97" i="8"/>
  <c r="V92" i="8"/>
  <c r="V108" i="8"/>
  <c r="W83" i="8"/>
  <c r="W85" i="8" s="1"/>
  <c r="X78" i="8"/>
  <c r="U104" i="8" l="1"/>
  <c r="V105" i="8"/>
  <c r="V100" i="8"/>
  <c r="V101" i="8"/>
  <c r="U105" i="8"/>
  <c r="U107" i="8"/>
  <c r="V104" i="8"/>
  <c r="V97" i="8"/>
  <c r="V98" i="8"/>
  <c r="V96" i="8"/>
  <c r="V99" i="8"/>
  <c r="W92" i="8"/>
  <c r="W108" i="8"/>
  <c r="Y78" i="8"/>
  <c r="X83" i="8"/>
  <c r="X85" i="8" s="1"/>
  <c r="W105" i="8" l="1"/>
  <c r="W100" i="8"/>
  <c r="W101" i="8"/>
  <c r="V107" i="8"/>
  <c r="W98" i="8"/>
  <c r="W99" i="8"/>
  <c r="W97" i="8"/>
  <c r="W96" i="8"/>
  <c r="W104" i="8"/>
  <c r="X92" i="8"/>
  <c r="X108" i="8"/>
  <c r="Y83" i="8"/>
  <c r="Y85" i="8" s="1"/>
  <c r="Z78" i="8"/>
  <c r="X105" i="8" l="1"/>
  <c r="X100" i="8"/>
  <c r="X101" i="8"/>
  <c r="W107" i="8"/>
  <c r="X104" i="8"/>
  <c r="X99" i="8"/>
  <c r="X97" i="8"/>
  <c r="X96" i="8"/>
  <c r="X98" i="8"/>
  <c r="Y92" i="8"/>
  <c r="Y108" i="8"/>
  <c r="AA78" i="8"/>
  <c r="Z83" i="8"/>
  <c r="Z85" i="8" s="1"/>
  <c r="Y105" i="8" l="1"/>
  <c r="Y101" i="8"/>
  <c r="Y100" i="8"/>
  <c r="X107" i="8"/>
  <c r="Y97" i="8"/>
  <c r="Y104" i="8"/>
  <c r="Y96" i="8"/>
  <c r="Y98" i="8"/>
  <c r="Y99" i="8"/>
  <c r="Z92" i="8"/>
  <c r="Z108" i="8"/>
  <c r="AA83" i="8"/>
  <c r="AA85" i="8" s="1"/>
  <c r="AB78" i="8"/>
  <c r="Z105" i="8" l="1"/>
  <c r="Z101" i="8"/>
  <c r="Z100" i="8"/>
  <c r="Y107" i="8"/>
  <c r="Z104" i="8"/>
  <c r="Z99" i="8"/>
  <c r="Z98" i="8"/>
  <c r="Z96" i="8"/>
  <c r="Z97" i="8"/>
  <c r="AA92" i="8"/>
  <c r="AA108" i="8"/>
  <c r="AC78" i="8"/>
  <c r="AB83" i="8"/>
  <c r="AB85" i="8" s="1"/>
  <c r="AA105" i="8" l="1"/>
  <c r="AA101" i="8"/>
  <c r="AA100" i="8"/>
  <c r="Z107" i="8"/>
  <c r="AA98" i="8"/>
  <c r="AA104" i="8"/>
  <c r="AA97" i="8"/>
  <c r="AA99" i="8"/>
  <c r="AA96" i="8"/>
  <c r="AB92" i="8"/>
  <c r="AB108" i="8"/>
  <c r="AC83" i="8"/>
  <c r="AC85" i="8" s="1"/>
  <c r="AD78" i="8"/>
  <c r="AB105" i="8" l="1"/>
  <c r="AB100" i="8"/>
  <c r="AB101" i="8"/>
  <c r="AA107" i="8"/>
  <c r="AB96" i="8"/>
  <c r="AB97" i="8"/>
  <c r="AB104" i="8"/>
  <c r="AB98" i="8"/>
  <c r="AB99" i="8"/>
  <c r="AC92" i="8"/>
  <c r="AC108" i="8"/>
  <c r="AD83" i="8"/>
  <c r="AD85" i="8" s="1"/>
  <c r="AE78" i="8"/>
  <c r="AC105" i="8" l="1"/>
  <c r="AC101" i="8"/>
  <c r="AC100" i="8"/>
  <c r="AC104" i="8"/>
  <c r="AC99" i="8"/>
  <c r="AC97" i="8"/>
  <c r="AB107" i="8"/>
  <c r="AC96" i="8"/>
  <c r="AC98" i="8"/>
  <c r="AD92" i="8"/>
  <c r="AD108" i="8"/>
  <c r="AE83" i="8"/>
  <c r="AE85" i="8" s="1"/>
  <c r="AF78" i="8"/>
  <c r="AF83" i="8" s="1"/>
  <c r="AF85" i="8" s="1"/>
  <c r="AD105" i="8" l="1"/>
  <c r="AD100" i="8"/>
  <c r="AD101" i="8"/>
  <c r="AC107" i="8"/>
  <c r="AD98" i="8"/>
  <c r="AD97" i="8"/>
  <c r="AD99" i="8"/>
  <c r="AD104" i="8"/>
  <c r="AD96" i="8"/>
  <c r="AF92" i="8"/>
  <c r="AF108" i="8"/>
  <c r="AE92" i="8"/>
  <c r="AE108" i="8"/>
  <c r="AF105" i="8" l="1"/>
  <c r="AF100" i="8"/>
  <c r="AF101" i="8"/>
  <c r="AE105" i="8"/>
  <c r="AE101" i="8"/>
  <c r="AE100" i="8"/>
  <c r="AE96" i="8"/>
  <c r="AE104" i="8"/>
  <c r="AD107" i="8"/>
  <c r="AE98" i="8"/>
  <c r="AF96" i="8"/>
  <c r="AF104" i="8"/>
  <c r="AF98" i="8"/>
  <c r="AF99" i="8"/>
  <c r="AF97" i="8"/>
  <c r="AE99" i="8"/>
  <c r="AE97" i="8"/>
  <c r="AE107" i="8" l="1"/>
  <c r="AF10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Koch, Taylor</author>
    <author>Boos, Carlie</author>
  </authors>
  <commentList>
    <comment ref="G8" authorId="0" shapeId="0" xr:uid="{23E1970B-DCCD-4A66-8D8B-CEFA808953FB}">
      <text>
        <r>
          <rPr>
            <sz val="9"/>
            <color indexed="81"/>
            <rFont val="Tahoma"/>
            <family val="2"/>
          </rPr>
          <t>At the bottom of the linked Web site, there is a field where you can "Enter your full address below to find your district and representative on the map." Enter the site address here, and both the State Senate and State House districts will be pulled.</t>
        </r>
      </text>
    </comment>
    <comment ref="G9" authorId="0" shapeId="0" xr:uid="{29CBA271-C85E-4565-B92F-7B73BBAAB188}">
      <text>
        <r>
          <rPr>
            <sz val="9"/>
            <color indexed="81"/>
            <rFont val="Tahoma"/>
            <family val="2"/>
          </rPr>
          <t>At the bottom of the linked Web site, there is a field where you can "Enter your full address below to find your district and representative on the map." Enter the site address here, and both the State Senate and State House districts will be pulled.</t>
        </r>
      </text>
    </comment>
    <comment ref="G11" authorId="0" shapeId="0" xr:uid="{2BC65072-7623-4986-A2EF-4F833E2EDA8E}">
      <text>
        <r>
          <rPr>
            <sz val="9"/>
            <color indexed="81"/>
            <rFont val="Tahoma"/>
            <family val="2"/>
          </rPr>
          <t xml:space="preserve">Applicants may find the 11-digit code in the linked Census Bureau Geocoding Web site. Enter the site address (approximate if the address has not been established), and scroll to "Census Tracts". Copy the GEOID field here. It will always be 11 digits in length.
If multiple, use the Census Tract with most affordable units.
</t>
        </r>
      </text>
    </comment>
    <comment ref="G12" authorId="0" shapeId="0" xr:uid="{A51CDDC9-C486-47D4-8AB3-AC688FA16238}">
      <text>
        <r>
          <rPr>
            <sz val="9"/>
            <color indexed="81"/>
            <rFont val="Tahoma"/>
            <family val="2"/>
          </rPr>
          <t xml:space="preserve">Same as above, but </t>
        </r>
        <r>
          <rPr>
            <b/>
            <sz val="9"/>
            <color indexed="81"/>
            <rFont val="Tahoma"/>
            <family val="2"/>
          </rPr>
          <t>change the Vintage to "Census2010_Current"</t>
        </r>
        <r>
          <rPr>
            <sz val="9"/>
            <color indexed="81"/>
            <rFont val="Tahoma"/>
            <family val="2"/>
          </rPr>
          <t>. Applicants may find the 11-digit code in the linked Census Bureau Geocoding Web site. Enter the site address (approximate if the address has not been established), and scroll to "Census Tracts". Copy the GEOID field here. It will always be 11 digits in length.
If multiple, use the Census Tract with most affordable units.</t>
        </r>
      </text>
    </comment>
    <comment ref="B62" authorId="1" shapeId="0" xr:uid="{00000000-0006-0000-0300-000004000000}">
      <text>
        <r>
          <rPr>
            <b/>
            <sz val="9"/>
            <color indexed="81"/>
            <rFont val="Tahoma"/>
            <family val="2"/>
          </rPr>
          <t>Intended for, and solely occupied by persons 62 years of age or older; or
Intended and operated for occupancy by persons 55 years of age or older.</t>
        </r>
      </text>
    </comment>
    <comment ref="E64" authorId="1" shapeId="0" xr:uid="{00000000-0006-0000-0300-000005000000}">
      <text>
        <r>
          <rPr>
            <b/>
            <sz val="9"/>
            <color indexed="81"/>
            <rFont val="Tahoma"/>
            <family val="2"/>
          </rPr>
          <t>Cell Auto Populates from the Budget Tab.</t>
        </r>
      </text>
    </comment>
    <comment ref="D72" authorId="1" shapeId="0" xr:uid="{00000000-0006-0000-0300-000006000000}">
      <text>
        <r>
          <rPr>
            <b/>
            <sz val="9"/>
            <color indexed="81"/>
            <rFont val="Tahoma"/>
            <family val="2"/>
          </rPr>
          <t>Enter full parcel number even if only partial number displays in the box below.</t>
        </r>
      </text>
    </comment>
    <comment ref="F72" authorId="1" shapeId="0" xr:uid="{00000000-0006-0000-0300-000007000000}">
      <text>
        <r>
          <rPr>
            <b/>
            <sz val="9"/>
            <color indexed="81"/>
            <rFont val="Tahoma"/>
            <family val="2"/>
          </rPr>
          <t xml:space="preserve">If purchase price is not available on a per building basis, enter the full purchase price in the first row only.
 </t>
        </r>
      </text>
    </comment>
    <comment ref="L72" authorId="1" shapeId="0" xr:uid="{00000000-0006-0000-0300-000008000000}">
      <text>
        <r>
          <rPr>
            <b/>
            <sz val="9"/>
            <color indexed="81"/>
            <rFont val="Tahoma"/>
            <family val="2"/>
          </rPr>
          <t>Enter full seller name even if only partial name displays in the box below.</t>
        </r>
      </text>
    </comment>
    <comment ref="M72" authorId="1" shapeId="0" xr:uid="{00000000-0006-0000-0300-000009000000}">
      <text>
        <r>
          <rPr>
            <b/>
            <sz val="9"/>
            <color indexed="81"/>
            <rFont val="Tahoma"/>
            <family val="2"/>
          </rPr>
          <t>Enter full seller address even if only partial name is visible in the box below.</t>
        </r>
      </text>
    </comment>
    <comment ref="B206" authorId="1" shapeId="0" xr:uid="{00000000-0006-0000-0300-00000A000000}">
      <text>
        <r>
          <rPr>
            <b/>
            <sz val="9"/>
            <color indexed="81"/>
            <rFont val="Tahoma"/>
            <family val="2"/>
          </rPr>
          <t>All non-dwelling space must be provided, even if included in HTC (including detached community buildings).</t>
        </r>
      </text>
    </comment>
    <comment ref="B210" authorId="1" shapeId="0" xr:uid="{00000000-0006-0000-0300-00000B000000}">
      <text>
        <r>
          <rPr>
            <b/>
            <sz val="9"/>
            <color indexed="81"/>
            <rFont val="Tahoma"/>
            <family val="2"/>
          </rPr>
          <t>This may include basis-eligible, detached common area space.</t>
        </r>
      </text>
    </comment>
    <comment ref="B226" authorId="1" shapeId="0" xr:uid="{00000000-0006-0000-0300-00000C000000}">
      <text>
        <r>
          <rPr>
            <b/>
            <sz val="9"/>
            <color indexed="81"/>
            <rFont val="Tahoma"/>
            <family val="2"/>
          </rPr>
          <t xml:space="preserve">Measure from exterior face of exterior building, including structured exterior spaces (stair, balcony, portico). </t>
        </r>
      </text>
    </comment>
    <comment ref="B227" authorId="1" shapeId="0" xr:uid="{00000000-0006-0000-0300-00000D000000}">
      <text>
        <r>
          <rPr>
            <b/>
            <sz val="9"/>
            <color indexed="81"/>
            <rFont val="Tahoma"/>
            <family val="2"/>
          </rPr>
          <t xml:space="preserve">Legally separate space under control of another program or condominimized legal separation.
</t>
        </r>
      </text>
    </comment>
    <comment ref="B228" authorId="1" shapeId="0" xr:uid="{00000000-0006-0000-0300-00000E000000}">
      <text>
        <r>
          <rPr>
            <b/>
            <sz val="9"/>
            <color indexed="81"/>
            <rFont val="Tahoma"/>
            <family val="2"/>
          </rPr>
          <t>Includes Garages, Storage, and other spaces for which residents must pay a fee for use/access.</t>
        </r>
      </text>
    </comment>
    <comment ref="B229" authorId="1" shapeId="0" xr:uid="{00000000-0006-0000-0300-00000F000000}">
      <text>
        <r>
          <rPr>
            <b/>
            <sz val="9"/>
            <color indexed="81"/>
            <rFont val="Tahoma"/>
            <family val="2"/>
          </rPr>
          <t>Includes lofts, mezzanine and restricted headroom areas</t>
        </r>
      </text>
    </comment>
    <comment ref="B230" authorId="1" shapeId="0" xr:uid="{00000000-0006-0000-0300-000010000000}">
      <text>
        <r>
          <rPr>
            <b/>
            <sz val="9"/>
            <color indexed="81"/>
            <rFont val="Tahoma"/>
            <family val="2"/>
          </rPr>
          <t>Includes lofts, mezzanine and restricted headroom areas</t>
        </r>
      </text>
    </comment>
    <comment ref="B231" authorId="1" shapeId="0" xr:uid="{00000000-0006-0000-0300-000011000000}">
      <text>
        <r>
          <rPr>
            <b/>
            <sz val="9"/>
            <color indexed="81"/>
            <rFont val="Tahoma"/>
            <family val="2"/>
          </rPr>
          <t>Includes lofts, mezzanine and restricted headroom areas</t>
        </r>
      </text>
    </comment>
    <comment ref="B232" authorId="1" shapeId="0" xr:uid="{00000000-0006-0000-0300-000012000000}">
      <text>
        <r>
          <rPr>
            <b/>
            <sz val="9"/>
            <color indexed="81"/>
            <rFont val="Tahoma"/>
            <family val="2"/>
          </rPr>
          <t>Public restrooms, community rooms, libraries, offices, meeting rooms, kitchens, car canopy, portico, fitness rooms, laundry, mailboxes.</t>
        </r>
      </text>
    </comment>
    <comment ref="B233" authorId="1" shapeId="0" xr:uid="{00000000-0006-0000-0300-000013000000}">
      <text>
        <r>
          <rPr>
            <b/>
            <sz val="9"/>
            <color indexed="81"/>
            <rFont val="Tahoma"/>
            <family val="2"/>
          </rPr>
          <t>Public hallways, stairways,  and corridors to residential units.</t>
        </r>
      </text>
    </comment>
    <comment ref="B234" authorId="1" shapeId="0" xr:uid="{00000000-0006-0000-0300-000014000000}">
      <text>
        <r>
          <rPr>
            <b/>
            <sz val="9"/>
            <color indexed="81"/>
            <rFont val="Tahoma"/>
            <family val="2"/>
          </rPr>
          <t>Counseling space, wellness and health clinic areas, day care centers, etc.</t>
        </r>
      </text>
    </comment>
    <comment ref="B235" authorId="1" shapeId="0" xr:uid="{00000000-0006-0000-0300-000015000000}">
      <text>
        <r>
          <rPr>
            <b/>
            <sz val="9"/>
            <color indexed="81"/>
            <rFont val="Tahoma"/>
            <family val="2"/>
          </rPr>
          <t>Exterior spaces with access only through residential unit. i.e. balcony/porch/deck (patios without roof are not included - see construction cost detail - on site improvements)</t>
        </r>
      </text>
    </comment>
    <comment ref="B236" authorId="1" shapeId="0" xr:uid="{00000000-0006-0000-0300-000016000000}">
      <text>
        <r>
          <rPr>
            <b/>
            <sz val="9"/>
            <color indexed="81"/>
            <rFont val="Tahoma"/>
            <family val="2"/>
          </rPr>
          <t>Electrical, mechanical, elevator room, sprinkler room, janitorial, trash, maintenance, storage that is not for tenant use.</t>
        </r>
      </text>
    </comment>
    <comment ref="B237" authorId="1" shapeId="0" xr:uid="{00000000-0006-0000-0300-000017000000}">
      <text>
        <r>
          <rPr>
            <b/>
            <sz val="9"/>
            <color indexed="81"/>
            <rFont val="Tahoma"/>
            <family val="2"/>
          </rPr>
          <t>Tenant storage outside of unit.</t>
        </r>
      </text>
    </comment>
    <comment ref="B238" authorId="1" shapeId="0" xr:uid="{00000000-0006-0000-0300-000018000000}">
      <text>
        <r>
          <rPr>
            <b/>
            <sz val="9"/>
            <color indexed="81"/>
            <rFont val="Tahoma"/>
            <family val="2"/>
          </rPr>
          <t>Includes duct shafts, stair shaft, elevator shaft, space open to below.</t>
        </r>
      </text>
    </comment>
    <comment ref="B239" authorId="1" shapeId="0" xr:uid="{00000000-0006-0000-0300-000019000000}">
      <text>
        <r>
          <rPr>
            <b/>
            <sz val="9"/>
            <color indexed="81"/>
            <rFont val="Tahoma"/>
            <family val="2"/>
          </rPr>
          <t>Free standing maintenance buildings are included in support.</t>
        </r>
      </text>
    </comment>
    <comment ref="B240" authorId="1" shapeId="0" xr:uid="{00000000-0006-0000-0300-00001A000000}">
      <text>
        <r>
          <rPr>
            <b/>
            <sz val="9"/>
            <color indexed="81"/>
            <rFont val="Tahoma"/>
            <family val="2"/>
          </rPr>
          <t>Includes spaces with a minimum of 7' clear head height. Spaces less than 7' are crawl spaces per RCO 305.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Alecusan, Diane</author>
    <author>Boos, Carlie</author>
  </authors>
  <commentList>
    <comment ref="C56" authorId="0" shapeId="0" xr:uid="{00000000-0006-0000-0400-000001000000}">
      <text>
        <r>
          <rPr>
            <sz val="9"/>
            <color indexed="81"/>
            <rFont val="Tahoma"/>
            <family val="2"/>
          </rPr>
          <t xml:space="preserve">For projects selecting the </t>
        </r>
        <r>
          <rPr>
            <b/>
            <sz val="9"/>
            <color indexed="81"/>
            <rFont val="Tahoma"/>
            <family val="2"/>
          </rPr>
          <t>Average Income</t>
        </r>
        <r>
          <rPr>
            <sz val="9"/>
            <color indexed="81"/>
            <rFont val="Tahoma"/>
            <family val="2"/>
          </rPr>
          <t xml:space="preserve"> minimum set-aside, "Affordable" units are those HTC
units that are designated in rows 9-34 as having a rent limit at or below 80% AMI (Column G). 
For projects selecting the </t>
        </r>
        <r>
          <rPr>
            <b/>
            <sz val="9"/>
            <color indexed="81"/>
            <rFont val="Tahoma"/>
            <family val="2"/>
          </rPr>
          <t>40/60 or 20/50</t>
        </r>
        <r>
          <rPr>
            <sz val="9"/>
            <color indexed="81"/>
            <rFont val="Tahoma"/>
            <family val="2"/>
          </rPr>
          <t xml:space="preserve"> minimum set-aside, "Affordable" units are those HTC units that are designated in rows 9-34 as having a rent limit at or below 60% AMI (Column G). </t>
        </r>
      </text>
    </comment>
    <comment ref="C58" authorId="0" shapeId="0" xr:uid="{00000000-0006-0000-0400-000002000000}">
      <text>
        <r>
          <rPr>
            <sz val="9"/>
            <color indexed="81"/>
            <rFont val="Tahoma"/>
            <family val="2"/>
          </rPr>
          <t xml:space="preserve">For projects selecting the </t>
        </r>
        <r>
          <rPr>
            <b/>
            <sz val="9"/>
            <color indexed="81"/>
            <rFont val="Tahoma"/>
            <family val="2"/>
          </rPr>
          <t>Average Income</t>
        </r>
        <r>
          <rPr>
            <sz val="9"/>
            <color indexed="81"/>
            <rFont val="Tahoma"/>
            <family val="2"/>
          </rPr>
          <t xml:space="preserve"> minimum set-aside, "Affordable" units are those HTC units that are designated in rows 9-34 as having a rent limit at or below 80% AMI (Column G). 
For projects selecting the </t>
        </r>
        <r>
          <rPr>
            <b/>
            <sz val="9"/>
            <color indexed="81"/>
            <rFont val="Tahoma"/>
            <family val="2"/>
          </rPr>
          <t xml:space="preserve">40/60 or 20/50 </t>
        </r>
        <r>
          <rPr>
            <sz val="9"/>
            <color indexed="81"/>
            <rFont val="Tahoma"/>
            <family val="2"/>
          </rPr>
          <t xml:space="preserve">minimum set-aside, "Affordable" units are those HTC units that are designated in rows 9-34 as having a rent limit at or below 60% AMI (Column G). </t>
        </r>
      </text>
    </comment>
    <comment ref="C60" authorId="0" shapeId="0" xr:uid="{00000000-0006-0000-0400-000003000000}">
      <text>
        <r>
          <rPr>
            <sz val="9"/>
            <color indexed="81"/>
            <rFont val="Tahoma"/>
            <family val="2"/>
          </rPr>
          <t xml:space="preserve">For projects selecting the </t>
        </r>
        <r>
          <rPr>
            <b/>
            <sz val="9"/>
            <color indexed="81"/>
            <rFont val="Tahoma"/>
            <family val="2"/>
          </rPr>
          <t xml:space="preserve">Average Income </t>
        </r>
        <r>
          <rPr>
            <sz val="9"/>
            <color indexed="81"/>
            <rFont val="Tahoma"/>
            <family val="2"/>
          </rPr>
          <t xml:space="preserve">minimum set-aside, "Affordable" units are those HTC units that are designated in rows 9-34 as having a rent limit at or below 80% AMI (Column G). 
For projects selecting the </t>
        </r>
        <r>
          <rPr>
            <b/>
            <sz val="9"/>
            <color indexed="81"/>
            <rFont val="Tahoma"/>
            <family val="2"/>
          </rPr>
          <t>40/60 or 20/50</t>
        </r>
        <r>
          <rPr>
            <sz val="9"/>
            <color indexed="81"/>
            <rFont val="Tahoma"/>
            <family val="2"/>
          </rPr>
          <t xml:space="preserve"> minimum set-aside, "Affordable" units are those HTC units that are designated in rows 9-34 as having a rent limit at or below 60% AMI (Column G). </t>
        </r>
      </text>
    </comment>
    <comment ref="H236" authorId="1" shapeId="0" xr:uid="{00000000-0006-0000-0400-000005000000}">
      <text>
        <r>
          <rPr>
            <b/>
            <sz val="9"/>
            <color indexed="81"/>
            <rFont val="Tahoma"/>
            <family val="2"/>
          </rPr>
          <t xml:space="preserve">If no interest rate is entered, a de Minimis rate will be used for pro forma. </t>
        </r>
      </text>
    </comment>
    <comment ref="K236" authorId="1" shapeId="0" xr:uid="{00000000-0006-0000-0400-000006000000}">
      <text>
        <r>
          <rPr>
            <b/>
            <sz val="9"/>
            <color indexed="81"/>
            <rFont val="Tahoma"/>
            <family val="2"/>
          </rPr>
          <t>AmTerm MUST be entered for all real debt or proforma will not calculate.
If no AmTerm is entered, debt will be treated as soft and will amortize over 30 years but will not be included in cash flow or Hard DCR calculation.</t>
        </r>
      </text>
    </comment>
    <comment ref="K239" authorId="1" shapeId="0" xr:uid="{00000000-0006-0000-0400-000007000000}">
      <text>
        <r>
          <rPr>
            <b/>
            <sz val="9"/>
            <color indexed="81"/>
            <rFont val="Tahoma"/>
            <family val="2"/>
          </rPr>
          <t>If no AmTerm is entered, a 15 year amortization will be assumed in the pro forma.</t>
        </r>
      </text>
    </comment>
    <comment ref="C281" authorId="1" shapeId="0" xr:uid="{00000000-0006-0000-0400-000008000000}">
      <text>
        <r>
          <rPr>
            <b/>
            <sz val="9"/>
            <color indexed="81"/>
            <rFont val="Tahoma"/>
            <family val="2"/>
          </rPr>
          <t xml:space="preserve">Amenity Fee items include things that tenants must pay a fee to use, such as garages, carports, pools, and recreation rooms. </t>
        </r>
      </text>
    </comment>
    <comment ref="C307" authorId="1" shapeId="0" xr:uid="{00000000-0006-0000-0400-000009000000}">
      <text>
        <r>
          <rPr>
            <b/>
            <sz val="9"/>
            <color indexed="81"/>
            <rFont val="Tahoma"/>
            <family val="2"/>
          </rPr>
          <t>Lower-tier (project) costs ONLY.</t>
        </r>
      </text>
    </comment>
    <comment ref="C308" authorId="1" shapeId="0" xr:uid="{00000000-0006-0000-0400-00000A000000}">
      <text>
        <r>
          <rPr>
            <b/>
            <sz val="9"/>
            <color indexed="81"/>
            <rFont val="Tahoma"/>
            <family val="2"/>
          </rPr>
          <t>Lower-tier (project) costs ONLY.</t>
        </r>
      </text>
    </comment>
    <comment ref="C319" authorId="1" shapeId="0" xr:uid="{00000000-0006-0000-0400-00000B000000}">
      <text>
        <r>
          <rPr>
            <b/>
            <sz val="9"/>
            <color indexed="81"/>
            <rFont val="Tahoma"/>
            <family val="2"/>
          </rPr>
          <t>Lower-tier (project) costs ONLY.</t>
        </r>
      </text>
    </comment>
    <comment ref="C320" authorId="1" shapeId="0" xr:uid="{00000000-0006-0000-0400-00000C000000}">
      <text>
        <r>
          <rPr>
            <b/>
            <sz val="9"/>
            <color indexed="81"/>
            <rFont val="Tahoma"/>
            <family val="2"/>
          </rPr>
          <t>Lower-tier (project) costs ONLY.</t>
        </r>
      </text>
    </comment>
    <comment ref="C362" authorId="1" shapeId="0" xr:uid="{00000000-0006-0000-0400-00000D000000}">
      <text>
        <r>
          <rPr>
            <b/>
            <sz val="9"/>
            <color indexed="81"/>
            <rFont val="Tahoma"/>
            <family val="2"/>
          </rPr>
          <t xml:space="preserve">Amenity Fee items include things that tenants must pay a fee to use, such as garages, carports, pools, and recreation rooms. </t>
        </r>
      </text>
    </comment>
    <comment ref="C388" authorId="1" shapeId="0" xr:uid="{00000000-0006-0000-0400-00000E000000}">
      <text>
        <r>
          <rPr>
            <b/>
            <sz val="9"/>
            <color indexed="81"/>
            <rFont val="Tahoma"/>
            <family val="2"/>
          </rPr>
          <t>Lower-tier (project) costs ONLY.</t>
        </r>
      </text>
    </comment>
    <comment ref="C389" authorId="1" shapeId="0" xr:uid="{00000000-0006-0000-0400-00000F000000}">
      <text>
        <r>
          <rPr>
            <b/>
            <sz val="9"/>
            <color indexed="81"/>
            <rFont val="Tahoma"/>
            <family val="2"/>
          </rPr>
          <t>Lower-tier (project) costs ONLY.</t>
        </r>
      </text>
    </comment>
    <comment ref="C400" authorId="1" shapeId="0" xr:uid="{00000000-0006-0000-0400-000010000000}">
      <text>
        <r>
          <rPr>
            <b/>
            <sz val="9"/>
            <color indexed="81"/>
            <rFont val="Tahoma"/>
            <family val="2"/>
          </rPr>
          <t>Lower-tier (project) costs ONLY.</t>
        </r>
      </text>
    </comment>
    <comment ref="C401" authorId="1" shapeId="0" xr:uid="{00000000-0006-0000-0400-000011000000}">
      <text>
        <r>
          <rPr>
            <b/>
            <sz val="9"/>
            <color indexed="81"/>
            <rFont val="Tahoma"/>
            <family val="2"/>
          </rPr>
          <t>Lower-tier (project) costs ONLY.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Boos, Carlie</author>
  </authors>
  <commentList>
    <comment ref="B35" authorId="0" shapeId="0" xr:uid="{00000000-0006-0000-0500-000001000000}">
      <text>
        <r>
          <rPr>
            <b/>
            <sz val="9"/>
            <color indexed="81"/>
            <rFont val="Tahoma"/>
            <family val="2"/>
          </rPr>
          <t>Cells populate based on prior HTC information from Project Details tab. Applicants may need to override these deductions if outside the compliance period.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11" authorId="0" shapeId="0" xr:uid="{00000000-0006-0000-0600-000001000000}">
      <text>
        <r>
          <rPr>
            <sz val="9"/>
            <color indexed="81"/>
            <rFont val="Tahoma"/>
            <family val="2"/>
          </rPr>
          <t>Hidden for projects unless subsidy layering review is requested.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Alecusan, Diane</author>
    <author>Boos, Carlie</author>
  </authors>
  <commentList>
    <comment ref="C69" authorId="0" shapeId="0" xr:uid="{00000000-0006-0000-0700-000002000000}">
      <text>
        <r>
          <rPr>
            <sz val="9"/>
            <color indexed="81"/>
            <rFont val="Tahoma"/>
            <family val="2"/>
          </rPr>
          <t>If the member named above is also the parent, please repeat that information here.</t>
        </r>
      </text>
    </comment>
    <comment ref="C82" authorId="0" shapeId="0" xr:uid="{00000000-0006-0000-0700-000003000000}">
      <text>
        <r>
          <rPr>
            <sz val="9"/>
            <color indexed="81"/>
            <rFont val="Tahoma"/>
            <family val="2"/>
          </rPr>
          <t>If the member named above is also the parent, please repeat that information here.</t>
        </r>
      </text>
    </comment>
    <comment ref="C95" authorId="0" shapeId="0" xr:uid="{00000000-0006-0000-0700-000004000000}">
      <text>
        <r>
          <rPr>
            <sz val="9"/>
            <color indexed="81"/>
            <rFont val="Tahoma"/>
            <family val="2"/>
          </rPr>
          <t>If the member named above is also the parent, please repeat that information here.</t>
        </r>
      </text>
    </comment>
    <comment ref="C110" authorId="0" shapeId="0" xr:uid="{58E92DE8-00C2-43A9-A904-C0E70BA9C318}">
      <text>
        <r>
          <rPr>
            <sz val="9"/>
            <color indexed="81"/>
            <rFont val="Tahoma"/>
            <family val="2"/>
          </rPr>
          <t>If the member named above is also the parent, please repeat that information here.</t>
        </r>
      </text>
    </comment>
    <comment ref="C123" authorId="0" shapeId="0" xr:uid="{C12C85B7-F489-44D3-88E8-B5A64D9051AE}">
      <text>
        <r>
          <rPr>
            <sz val="9"/>
            <color indexed="81"/>
            <rFont val="Tahoma"/>
            <family val="2"/>
          </rPr>
          <t>If the member named above is also the parent, please repeat that information here.</t>
        </r>
      </text>
    </comment>
    <comment ref="C143" authorId="1" shapeId="0" xr:uid="{00000000-0006-0000-0700-000005000000}">
      <text>
        <r>
          <rPr>
            <b/>
            <sz val="9"/>
            <color indexed="81"/>
            <rFont val="Tahoma"/>
            <family val="2"/>
          </rPr>
          <t>A qualified non-profit organization, which is described in Section 501 (C)(3) or (4), is exempt from tax under Section 501(a). Its exempt purpose is to foster low-income housing, among other purposes.</t>
        </r>
      </text>
    </comment>
    <comment ref="C162" authorId="1" shapeId="0" xr:uid="{00000000-0006-0000-0700-000006000000}">
      <text>
        <r>
          <rPr>
            <b/>
            <sz val="9"/>
            <color indexed="81"/>
            <rFont val="Tahoma"/>
            <family val="2"/>
          </rPr>
          <t>A qualified non-profit organization, which is described in Section 501 (C)(3) or (4), is exempt from tax under Section 501(a). Its exempt purpose is to foster low-income housing, among other purposes.</t>
        </r>
      </text>
    </comment>
  </commentList>
</comments>
</file>

<file path=xl/sharedStrings.xml><?xml version="1.0" encoding="utf-8"?>
<sst xmlns="http://schemas.openxmlformats.org/spreadsheetml/2006/main" count="29101" uniqueCount="7929">
  <si>
    <t>Instructions</t>
  </si>
  <si>
    <t>Program Certification</t>
  </si>
  <si>
    <t>Multifamily Bonds</t>
  </si>
  <si>
    <t>Proposal Summary</t>
  </si>
  <si>
    <t>Cashflow Analysis</t>
  </si>
  <si>
    <t>About the Project</t>
  </si>
  <si>
    <t>Project Name</t>
  </si>
  <si>
    <t>City or Township</t>
  </si>
  <si>
    <t>Zip Code + 4</t>
  </si>
  <si>
    <t>County</t>
  </si>
  <si>
    <t>Latitude</t>
  </si>
  <si>
    <t>Longitude</t>
  </si>
  <si>
    <t>State Senate District</t>
  </si>
  <si>
    <t>State House District</t>
  </si>
  <si>
    <t>US Congressional District</t>
  </si>
  <si>
    <t>QCT?</t>
  </si>
  <si>
    <t xml:space="preserve">DDA? </t>
  </si>
  <si>
    <t>Opportunity</t>
  </si>
  <si>
    <t>Change</t>
  </si>
  <si>
    <t>Data</t>
  </si>
  <si>
    <t>Tract Name</t>
  </si>
  <si>
    <t>Opportunity Rating</t>
  </si>
  <si>
    <t>Change Index Rating</t>
  </si>
  <si>
    <t>Adams</t>
  </si>
  <si>
    <t>Yes</t>
  </si>
  <si>
    <t>Allen</t>
  </si>
  <si>
    <t>No</t>
  </si>
  <si>
    <t>Ashland</t>
  </si>
  <si>
    <t>Ashtabula</t>
  </si>
  <si>
    <t>Athens</t>
  </si>
  <si>
    <t>Auglaize</t>
  </si>
  <si>
    <t>Belmont</t>
  </si>
  <si>
    <t>Brown</t>
  </si>
  <si>
    <t>Butler</t>
  </si>
  <si>
    <t>Carroll</t>
  </si>
  <si>
    <t>Champaign</t>
  </si>
  <si>
    <t>Clark</t>
  </si>
  <si>
    <t>Clermont</t>
  </si>
  <si>
    <t>Clinton</t>
  </si>
  <si>
    <t>Columbiana</t>
  </si>
  <si>
    <t>Coshocton</t>
  </si>
  <si>
    <t>Crawford</t>
  </si>
  <si>
    <t>Cuyahoga</t>
  </si>
  <si>
    <t>Darke</t>
  </si>
  <si>
    <t>Defiance</t>
  </si>
  <si>
    <t>Delaware</t>
  </si>
  <si>
    <t>Erie</t>
  </si>
  <si>
    <t>Fairfield</t>
  </si>
  <si>
    <t>Fayette</t>
  </si>
  <si>
    <t>Franklin</t>
  </si>
  <si>
    <t>Fulton</t>
  </si>
  <si>
    <t>Gallia</t>
  </si>
  <si>
    <t>Geauga</t>
  </si>
  <si>
    <t>Greene</t>
  </si>
  <si>
    <t>Guernsey</t>
  </si>
  <si>
    <t>Hamilton</t>
  </si>
  <si>
    <t>Hancock</t>
  </si>
  <si>
    <t>Hardin</t>
  </si>
  <si>
    <t>Harrison</t>
  </si>
  <si>
    <t>Henry</t>
  </si>
  <si>
    <t>Highland</t>
  </si>
  <si>
    <t>Hocking</t>
  </si>
  <si>
    <t>Holmes</t>
  </si>
  <si>
    <t>Huron</t>
  </si>
  <si>
    <t>Jackson</t>
  </si>
  <si>
    <t>Jefferson</t>
  </si>
  <si>
    <t>Lake</t>
  </si>
  <si>
    <t>Lawrence</t>
  </si>
  <si>
    <t>Licking</t>
  </si>
  <si>
    <t>Logan</t>
  </si>
  <si>
    <t>Lorain</t>
  </si>
  <si>
    <t>Lucas</t>
  </si>
  <si>
    <t>Madison</t>
  </si>
  <si>
    <t>Mahoning</t>
  </si>
  <si>
    <t>Marion</t>
  </si>
  <si>
    <t>Medina</t>
  </si>
  <si>
    <t>Meigs</t>
  </si>
  <si>
    <t>Mercer</t>
  </si>
  <si>
    <t>Miami</t>
  </si>
  <si>
    <t>Monroe</t>
  </si>
  <si>
    <t>Montgomery</t>
  </si>
  <si>
    <t>Morgan</t>
  </si>
  <si>
    <t>Morrow</t>
  </si>
  <si>
    <t>Muskingum</t>
  </si>
  <si>
    <t>Noble</t>
  </si>
  <si>
    <t>Ottawa</t>
  </si>
  <si>
    <t>Paulding</t>
  </si>
  <si>
    <t>Perry</t>
  </si>
  <si>
    <t>Pickaway</t>
  </si>
  <si>
    <t>Pike</t>
  </si>
  <si>
    <t>Portage</t>
  </si>
  <si>
    <t>Preble</t>
  </si>
  <si>
    <t>Putnam</t>
  </si>
  <si>
    <t>Richland</t>
  </si>
  <si>
    <t>Ross</t>
  </si>
  <si>
    <t>Sandusky</t>
  </si>
  <si>
    <t>Scioto</t>
  </si>
  <si>
    <t>Seneca</t>
  </si>
  <si>
    <t>Shelby</t>
  </si>
  <si>
    <t>Stark</t>
  </si>
  <si>
    <t>Summit</t>
  </si>
  <si>
    <t>Trumbull</t>
  </si>
  <si>
    <t>Tuscarawas</t>
  </si>
  <si>
    <t>Union</t>
  </si>
  <si>
    <t>Van Wert</t>
  </si>
  <si>
    <t>Vinton</t>
  </si>
  <si>
    <t>Warren</t>
  </si>
  <si>
    <t>Washington</t>
  </si>
  <si>
    <t>Wayne</t>
  </si>
  <si>
    <t>Williams</t>
  </si>
  <si>
    <t>Wood</t>
  </si>
  <si>
    <t>Wyandot</t>
  </si>
  <si>
    <t>Address</t>
  </si>
  <si>
    <t>City</t>
  </si>
  <si>
    <t>State</t>
  </si>
  <si>
    <t>Salutation</t>
  </si>
  <si>
    <t>Organization Type</t>
  </si>
  <si>
    <t>Federal Tax ID #</t>
  </si>
  <si>
    <t>LP % of Ownership</t>
  </si>
  <si>
    <t>First Name</t>
  </si>
  <si>
    <t>Last Name</t>
  </si>
  <si>
    <t>Title</t>
  </si>
  <si>
    <t>Organization</t>
  </si>
  <si>
    <t>Telephone #</t>
  </si>
  <si>
    <t>Contact Person</t>
  </si>
  <si>
    <t>Email</t>
  </si>
  <si>
    <t>Webpage</t>
  </si>
  <si>
    <t>Project Manager</t>
  </si>
  <si>
    <t>Must have ability to bind the project ownership.</t>
  </si>
  <si>
    <t>501 (c) (3) Organization</t>
  </si>
  <si>
    <t>501 (c) (4) Organization</t>
  </si>
  <si>
    <t>Other</t>
  </si>
  <si>
    <r>
      <t xml:space="preserve">Filed under ORC </t>
    </r>
    <r>
      <rPr>
        <sz val="11"/>
        <color theme="1"/>
        <rFont val="Calibri"/>
        <family val="2"/>
      </rPr>
      <t>§</t>
    </r>
    <r>
      <rPr>
        <sz val="11"/>
        <color theme="1"/>
        <rFont val="Arial"/>
        <family val="2"/>
        <scheme val="minor"/>
      </rPr>
      <t>1702</t>
    </r>
  </si>
  <si>
    <t>Years Nonprofit has continually served the county in which the project is located?</t>
  </si>
  <si>
    <t>Is Nonprofit eligible for and will act as nonprofit set-aside per IRC Section 42(h)(5)?</t>
  </si>
  <si>
    <t>Is Nonprofit an OHFA-certified Community Housing Development Organization?</t>
  </si>
  <si>
    <t>Primary Nonprofit Name</t>
  </si>
  <si>
    <t>Secondary Nonprofit Name</t>
  </si>
  <si>
    <t>GP % of Ownership</t>
  </si>
  <si>
    <t>Majority Member</t>
  </si>
  <si>
    <t># Residential Projects PIS</t>
  </si>
  <si>
    <t># Residential Units PIS</t>
  </si>
  <si>
    <t>Developer Name</t>
  </si>
  <si>
    <t>General Contractor Name</t>
  </si>
  <si>
    <t>Role</t>
  </si>
  <si>
    <t>Firm</t>
  </si>
  <si>
    <t>Phone</t>
  </si>
  <si>
    <t>Engineer</t>
  </si>
  <si>
    <t>Consultant</t>
  </si>
  <si>
    <t>Legal</t>
  </si>
  <si>
    <t>Tax Attorney</t>
  </si>
  <si>
    <t>TOTAL</t>
  </si>
  <si>
    <t># of Units</t>
  </si>
  <si>
    <t>Total</t>
  </si>
  <si>
    <t>Development Team</t>
  </si>
  <si>
    <t>Project Details</t>
  </si>
  <si>
    <t>Population Served</t>
  </si>
  <si>
    <t>Population</t>
  </si>
  <si>
    <t>Set aside(s) for Formerly Homeless?</t>
  </si>
  <si>
    <t>Set aside(s) for Developmental Disability?</t>
  </si>
  <si>
    <t>Set aside(s) for SPMI?</t>
  </si>
  <si>
    <t>Set aside(s) for Mobility/Sensory Impaired?</t>
  </si>
  <si>
    <t>Set aside(s) for Extremely Low Income?</t>
  </si>
  <si>
    <t>Service Coordinator Name</t>
  </si>
  <si>
    <t>Site &amp; Building Acquisition Information</t>
  </si>
  <si>
    <t>Type of Site Control</t>
  </si>
  <si>
    <t>Type of Construction</t>
  </si>
  <si>
    <t># of Sites Under Control</t>
  </si>
  <si>
    <t># of Sites Proposed to Acquire</t>
  </si>
  <si>
    <t>New Construction</t>
  </si>
  <si>
    <t>Rehabilitation</t>
  </si>
  <si>
    <t>Census Tract</t>
  </si>
  <si>
    <t>Supportive Services?</t>
  </si>
  <si>
    <t># Units</t>
  </si>
  <si>
    <t>% of Site Type Under Control</t>
  </si>
  <si>
    <t>Related Party?</t>
  </si>
  <si>
    <t>Last PIS Date</t>
  </si>
  <si>
    <t>Will the site be subdivided?</t>
  </si>
  <si>
    <t xml:space="preserve">Area of Site (Acres): </t>
  </si>
  <si>
    <t># Occupied Units</t>
  </si>
  <si>
    <t>% of Occupied Units:</t>
  </si>
  <si>
    <t xml:space="preserve">Development Schedule </t>
  </si>
  <si>
    <t>First Building</t>
  </si>
  <si>
    <t>Last Building</t>
  </si>
  <si>
    <t>Unrestricted answer</t>
  </si>
  <si>
    <t>Architect Name</t>
  </si>
  <si>
    <t>Building Type</t>
  </si>
  <si>
    <t xml:space="preserve">Please list all sites under control at time of application. All sites must contain at least one unit, and must have a permanent parcel number listed. Sites that do not have parcel numbers will not be accepted. See the QAP for details regarding site control and scattered site projects. </t>
  </si>
  <si>
    <t># Employee Units</t>
  </si>
  <si>
    <t>1BR</t>
  </si>
  <si>
    <t>2BR</t>
  </si>
  <si>
    <t>3BR</t>
  </si>
  <si>
    <t>4BR+</t>
  </si>
  <si>
    <t># Floors</t>
  </si>
  <si>
    <t>Accessory Buildings</t>
  </si>
  <si>
    <t>Recreation Facilities</t>
  </si>
  <si>
    <t>Commercial Facilities</t>
  </si>
  <si>
    <t># Structures</t>
  </si>
  <si>
    <t>Market Rate Unit Area</t>
  </si>
  <si>
    <t xml:space="preserve">Gross Square Footage of all Buildings </t>
  </si>
  <si>
    <t>Commercial Space Condominium Areas</t>
  </si>
  <si>
    <t>Low Income Unit Area</t>
  </si>
  <si>
    <t>Managers Unit Area</t>
  </si>
  <si>
    <t>Common Area (Public)</t>
  </si>
  <si>
    <t>Common Area (Circulation)</t>
  </si>
  <si>
    <t>Limited Common Area (Private)</t>
  </si>
  <si>
    <t>Support</t>
  </si>
  <si>
    <t>Tenant Storage</t>
  </si>
  <si>
    <t>Major Vertical Penetrations</t>
  </si>
  <si>
    <t>Structured Parking / Garage</t>
  </si>
  <si>
    <t>Basement</t>
  </si>
  <si>
    <t>Non-Low-Income floor area</t>
  </si>
  <si>
    <t>Low Income Floor Area</t>
  </si>
  <si>
    <t>% of Common Area</t>
  </si>
  <si>
    <t>Net Rentable Square Footage</t>
  </si>
  <si>
    <t>Gross Square Footage - Non-Low Income floor area</t>
  </si>
  <si>
    <t>Net Rentable Square Footage/ Total number of Low Income Units</t>
  </si>
  <si>
    <t># BR</t>
  </si>
  <si>
    <t># Bath</t>
  </si>
  <si>
    <t>SQFT</t>
  </si>
  <si>
    <t>Tenant-Paid Rent</t>
  </si>
  <si>
    <t>Tenant-Paid Utilities</t>
  </si>
  <si>
    <t>Knox</t>
  </si>
  <si>
    <t>30% AMGI</t>
  </si>
  <si>
    <t>35% AMGI</t>
  </si>
  <si>
    <t>50% AMGI</t>
  </si>
  <si>
    <t>60% AMGI</t>
  </si>
  <si>
    <t>Rental Subsidy</t>
  </si>
  <si>
    <t>Subsidy Type</t>
  </si>
  <si>
    <t>Rent to Project Per Unit</t>
  </si>
  <si>
    <t>Monthly Rent to Project</t>
  </si>
  <si>
    <t xml:space="preserve"> TOTAL</t>
  </si>
  <si>
    <t>Annual Gross Project Income Calculation</t>
  </si>
  <si>
    <t>4BR</t>
  </si>
  <si>
    <t>0BR</t>
  </si>
  <si>
    <t>Vacancy Rate</t>
  </si>
  <si>
    <t>First Year Vacancy Rate</t>
  </si>
  <si>
    <t>Project Location</t>
  </si>
  <si>
    <t>Total Number of Units</t>
  </si>
  <si>
    <t>Annual Vacancy Allowance</t>
  </si>
  <si>
    <t>Rental TOTAL</t>
  </si>
  <si>
    <t>Rental</t>
  </si>
  <si>
    <t>Interest Income</t>
  </si>
  <si>
    <t xml:space="preserve">Interest from Reserve Accounts </t>
  </si>
  <si>
    <t>Financial TOTAL</t>
  </si>
  <si>
    <t>Financial</t>
  </si>
  <si>
    <t>Operating Budget: Annual Income</t>
  </si>
  <si>
    <t>Other Rental Income</t>
  </si>
  <si>
    <t>Other Financial Income</t>
  </si>
  <si>
    <t>Laundry Revenue</t>
  </si>
  <si>
    <t>Tenant Charges/Fees</t>
  </si>
  <si>
    <t>Elderly Care/Service Delivery</t>
  </si>
  <si>
    <t>Other Service Income 1</t>
  </si>
  <si>
    <t>Other Service Income 2</t>
  </si>
  <si>
    <t>Other Service Income 3</t>
  </si>
  <si>
    <t>Service TOTAL</t>
  </si>
  <si>
    <t>Source</t>
  </si>
  <si>
    <t xml:space="preserve">Annual Residential Fee Income </t>
  </si>
  <si>
    <t xml:space="preserve">Annual Other Income </t>
  </si>
  <si>
    <t xml:space="preserve">Annual Commercial Income </t>
  </si>
  <si>
    <t>Effective Gross Income</t>
  </si>
  <si>
    <t>Operating Budget: Annual Expenses</t>
  </si>
  <si>
    <t>Advertising and Marketing</t>
  </si>
  <si>
    <t>Office Expenses</t>
  </si>
  <si>
    <t>Administrative Salaries</t>
  </si>
  <si>
    <t>Telephone</t>
  </si>
  <si>
    <t>Management Fee</t>
  </si>
  <si>
    <t xml:space="preserve">Management Salary </t>
  </si>
  <si>
    <t>Legal Expense</t>
  </si>
  <si>
    <t>Audit Expense</t>
  </si>
  <si>
    <t>Accounting Fees</t>
  </si>
  <si>
    <t>Bad Debts</t>
  </si>
  <si>
    <t>Tenant Relations</t>
  </si>
  <si>
    <t>Misc. Administrative Expenses</t>
  </si>
  <si>
    <t>Administrative</t>
  </si>
  <si>
    <t>Service</t>
  </si>
  <si>
    <t>Admin TOTAL</t>
  </si>
  <si>
    <t>Other Admin 1</t>
  </si>
  <si>
    <t>Other Admin 2</t>
  </si>
  <si>
    <t>Electricity</t>
  </si>
  <si>
    <t>Water</t>
  </si>
  <si>
    <t>Gas</t>
  </si>
  <si>
    <t>Sewer</t>
  </si>
  <si>
    <t>Cable/Internet</t>
  </si>
  <si>
    <t>Other Utility 1</t>
  </si>
  <si>
    <t>Other Utility 2</t>
  </si>
  <si>
    <t>Utility TOTAL</t>
  </si>
  <si>
    <t>Elevator</t>
  </si>
  <si>
    <t>Garbage/Trash Removal</t>
  </si>
  <si>
    <t>Van Driver Payroll</t>
  </si>
  <si>
    <t>Janitor Payroll</t>
  </si>
  <si>
    <t>Maintenance Payroll</t>
  </si>
  <si>
    <t>Maintenance Supplies</t>
  </si>
  <si>
    <t>Painting and Decorating</t>
  </si>
  <si>
    <t>HVAC Maintenance</t>
  </si>
  <si>
    <t>Snow Removal/Landscaping</t>
  </si>
  <si>
    <t xml:space="preserve">Vehicle Operation and Repairs </t>
  </si>
  <si>
    <t>Rent Concessions/Incentives</t>
  </si>
  <si>
    <t>Extermination</t>
  </si>
  <si>
    <t>Operating/Maintenance TOTAL</t>
  </si>
  <si>
    <t>Operating &amp; Maintenance</t>
  </si>
  <si>
    <t>Operating/Maintenance Contracts</t>
  </si>
  <si>
    <t>Ops Other 1</t>
  </si>
  <si>
    <t>Ops Other 2</t>
  </si>
  <si>
    <t>Ops Other 3</t>
  </si>
  <si>
    <t>Ops Other 4</t>
  </si>
  <si>
    <t>Real Estate Taxes</t>
  </si>
  <si>
    <t>Payroll Taxes</t>
  </si>
  <si>
    <t>Property/Liability Insurance</t>
  </si>
  <si>
    <t>Fidelity Bond Insurance</t>
  </si>
  <si>
    <t>Workers Compensation</t>
  </si>
  <si>
    <t>Health Insurance/Benefits</t>
  </si>
  <si>
    <t>Misc. Taxes/Insurance/License</t>
  </si>
  <si>
    <t>Taxes &amp; Insurance</t>
  </si>
  <si>
    <t>Tax/Ins Other 1</t>
  </si>
  <si>
    <t>Tax/Ins Other 2</t>
  </si>
  <si>
    <t>Tax/Ins Other 3</t>
  </si>
  <si>
    <t>Tax/Insurance TOTAL</t>
  </si>
  <si>
    <t>Replacement Reserves</t>
  </si>
  <si>
    <t>Other 1</t>
  </si>
  <si>
    <t>Other 2</t>
  </si>
  <si>
    <t>Other TOTAL</t>
  </si>
  <si>
    <t>Other 3</t>
  </si>
  <si>
    <t>Total Expenses</t>
  </si>
  <si>
    <t>Net Operating Income</t>
  </si>
  <si>
    <t>Budget Summary</t>
  </si>
  <si>
    <t>Admin Expenses</t>
  </si>
  <si>
    <t>Utility Expenses</t>
  </si>
  <si>
    <t>Op/Maint Expenses</t>
  </si>
  <si>
    <t>Tax/Ins Expenses</t>
  </si>
  <si>
    <t>Other Expenses</t>
  </si>
  <si>
    <t>NOI</t>
  </si>
  <si>
    <t>Operating Budget: Utility Details</t>
  </si>
  <si>
    <t>Utility Expense Source</t>
  </si>
  <si>
    <t xml:space="preserve">Heat </t>
  </si>
  <si>
    <t xml:space="preserve">Electric </t>
  </si>
  <si>
    <t xml:space="preserve">Water </t>
  </si>
  <si>
    <t xml:space="preserve">Sewer </t>
  </si>
  <si>
    <t xml:space="preserve">Trash </t>
  </si>
  <si>
    <t>5BR</t>
  </si>
  <si>
    <t>Tenant-Paid</t>
  </si>
  <si>
    <t>Owner-Paid</t>
  </si>
  <si>
    <t>Construction Financing &amp; Equity Sources</t>
  </si>
  <si>
    <t>Type</t>
  </si>
  <si>
    <t>Source Name</t>
  </si>
  <si>
    <t>Construction Loan</t>
  </si>
  <si>
    <t>Historic Tax Credit Equity</t>
  </si>
  <si>
    <t>Deferred Developer Fee</t>
  </si>
  <si>
    <t>Amount</t>
  </si>
  <si>
    <t>Annual Interest Payment</t>
  </si>
  <si>
    <t>Interest Rate</t>
  </si>
  <si>
    <t>Loan Term (Months)</t>
  </si>
  <si>
    <t>Permanent Financing &amp; Equity Sources</t>
  </si>
  <si>
    <t>Permanent Second Loan</t>
  </si>
  <si>
    <t xml:space="preserve">Is project Mark-to-Market? </t>
  </si>
  <si>
    <t>State the amount of pre-development funding, covered activities/expenses, and funding structure (loan or grant).</t>
  </si>
  <si>
    <t>Cost &amp; Basis Eligibility</t>
  </si>
  <si>
    <t>Acquisition</t>
  </si>
  <si>
    <t xml:space="preserve">Land </t>
  </si>
  <si>
    <t>Land Broker Fees</t>
  </si>
  <si>
    <t xml:space="preserve">Building Acquisition </t>
  </si>
  <si>
    <t xml:space="preserve">Survey(s) Costs </t>
  </si>
  <si>
    <t xml:space="preserve">Architectural Fees </t>
  </si>
  <si>
    <t xml:space="preserve">Engineering Fees </t>
  </si>
  <si>
    <t xml:space="preserve">Appraisal </t>
  </si>
  <si>
    <t xml:space="preserve">Market Study </t>
  </si>
  <si>
    <t xml:space="preserve">Environmental Report </t>
  </si>
  <si>
    <t xml:space="preserve">Title &amp; Recording </t>
  </si>
  <si>
    <t>Demolition</t>
  </si>
  <si>
    <t xml:space="preserve">Off-Site Improvements </t>
  </si>
  <si>
    <t xml:space="preserve">On-Site Improvements </t>
  </si>
  <si>
    <t xml:space="preserve">General Requirements </t>
  </si>
  <si>
    <t>Permit</t>
  </si>
  <si>
    <t>Site Security</t>
  </si>
  <si>
    <t xml:space="preserve">Hard Construction (Residential New Const.) </t>
  </si>
  <si>
    <t xml:space="preserve">Hard Construction (Residential Rehab.) </t>
  </si>
  <si>
    <t xml:space="preserve">Hard Construction (Commercial) </t>
  </si>
  <si>
    <t xml:space="preserve">Hard Construction (Amenity Fee Items*) </t>
  </si>
  <si>
    <t xml:space="preserve">Construction Contingency </t>
  </si>
  <si>
    <t>Furniture, Fixtures &amp; Equipment</t>
  </si>
  <si>
    <t xml:space="preserve">Contractor Overhead </t>
  </si>
  <si>
    <t xml:space="preserve">Contractor Profit </t>
  </si>
  <si>
    <t xml:space="preserve">Construction Insurance </t>
  </si>
  <si>
    <t xml:space="preserve">Construction Interest </t>
  </si>
  <si>
    <t xml:space="preserve">Construction Loan(s) Fees </t>
  </si>
  <si>
    <t xml:space="preserve">Permanent Loan(s) Fees </t>
  </si>
  <si>
    <t xml:space="preserve">Costs of TE-Bond Issuance </t>
  </si>
  <si>
    <t xml:space="preserve">Impact Fees/Tap Fees/Taxes </t>
  </si>
  <si>
    <t xml:space="preserve">Rent-up Costs/Marketing </t>
  </si>
  <si>
    <t xml:space="preserve">Legal Fees (not syndication related) </t>
  </si>
  <si>
    <t xml:space="preserve">Accounting Fees </t>
  </si>
  <si>
    <t xml:space="preserve">**Organizational Fees </t>
  </si>
  <si>
    <t xml:space="preserve">**Syndication Expenses </t>
  </si>
  <si>
    <t xml:space="preserve">Housing Credit Application Fee </t>
  </si>
  <si>
    <t xml:space="preserve">Housing Credit Reservation Fee </t>
  </si>
  <si>
    <t xml:space="preserve">Compliance Monitoring Fee </t>
  </si>
  <si>
    <t xml:space="preserve">**Operating Reserves </t>
  </si>
  <si>
    <t xml:space="preserve">**Replacement Reserves </t>
  </si>
  <si>
    <t xml:space="preserve">TOTALS </t>
  </si>
  <si>
    <t>Site</t>
  </si>
  <si>
    <t>Hard Construction</t>
  </si>
  <si>
    <t>Professional Fees</t>
  </si>
  <si>
    <t>Compliance</t>
  </si>
  <si>
    <t>Reserves</t>
  </si>
  <si>
    <t xml:space="preserve">Other </t>
  </si>
  <si>
    <t>Commercial Costs (Non-Construction)</t>
  </si>
  <si>
    <t>Soft Cost Total</t>
  </si>
  <si>
    <t>Hard Cost Total</t>
  </si>
  <si>
    <t>Building#</t>
  </si>
  <si>
    <t>Elevator?</t>
  </si>
  <si>
    <t>Purchase Price</t>
  </si>
  <si>
    <t>Describe the project reserves, including operating reserve, replacement reserve, lease-up reserve, and any lender reserve. Provide the assumptions used to estimate the reserve needs.</t>
  </si>
  <si>
    <t>Earth Work</t>
  </si>
  <si>
    <t>Site Utilities</t>
  </si>
  <si>
    <t>Roads, Walks and Paving</t>
  </si>
  <si>
    <t>Site Improvements</t>
  </si>
  <si>
    <t>Lawns and Planting</t>
  </si>
  <si>
    <t>Demolition/Asbestos Abatement</t>
  </si>
  <si>
    <t>Retaining Walls</t>
  </si>
  <si>
    <t>Unusual Site Conditions</t>
  </si>
  <si>
    <t>Construction Cost Detail</t>
  </si>
  <si>
    <t>Concrete</t>
  </si>
  <si>
    <t>Masonry</t>
  </si>
  <si>
    <t>Pest Control</t>
  </si>
  <si>
    <t>Metals</t>
  </si>
  <si>
    <t>Rough Carpentry</t>
  </si>
  <si>
    <t>Finish Carpentry</t>
  </si>
  <si>
    <t>Waterproofing</t>
  </si>
  <si>
    <t>Insulation</t>
  </si>
  <si>
    <t>Roofing</t>
  </si>
  <si>
    <t>Gutters and Downspouts</t>
  </si>
  <si>
    <t>Doors</t>
  </si>
  <si>
    <t>Windows</t>
  </si>
  <si>
    <t>Glass</t>
  </si>
  <si>
    <t>Drywall</t>
  </si>
  <si>
    <t>Tile Work and Wood Flooring</t>
  </si>
  <si>
    <t>Acoustical</t>
  </si>
  <si>
    <t>Resilient Flooring</t>
  </si>
  <si>
    <t>Specialties</t>
  </si>
  <si>
    <t>Trash Chute</t>
  </si>
  <si>
    <t>Special Equipment</t>
  </si>
  <si>
    <t>Cabinets and Countertops</t>
  </si>
  <si>
    <t>Special Construction</t>
  </si>
  <si>
    <t>Elevators</t>
  </si>
  <si>
    <t>Plumbing and Hot Water</t>
  </si>
  <si>
    <t>Heat, Ventilation &amp; AC</t>
  </si>
  <si>
    <t>Fire Suppression</t>
  </si>
  <si>
    <t>Electrical</t>
  </si>
  <si>
    <t>Miscellaneous Labor &amp; Materials</t>
  </si>
  <si>
    <t>Appliances</t>
  </si>
  <si>
    <t>Blinds and Shades, Artwork</t>
  </si>
  <si>
    <t>Carpets</t>
  </si>
  <si>
    <t>Building Permits</t>
  </si>
  <si>
    <t>Tap Fees and Impact Fees</t>
  </si>
  <si>
    <t>Construction Insurance</t>
  </si>
  <si>
    <t>Bond Premium</t>
  </si>
  <si>
    <t>Other GC-Paid Fees</t>
  </si>
  <si>
    <t>Contractor General Requirements</t>
  </si>
  <si>
    <t xml:space="preserve">Rehabilitation </t>
  </si>
  <si>
    <t>Commercial</t>
  </si>
  <si>
    <t>Total Hard Construction</t>
  </si>
  <si>
    <t>Total Furniture, Fixtures, &amp; Equipment</t>
  </si>
  <si>
    <t>Total Other GC-Paid Fees</t>
  </si>
  <si>
    <t xml:space="preserve">Earth Work </t>
  </si>
  <si>
    <t xml:space="preserve">Site preparation (clearing and grubbing), top soil stripping and piling; rough site grading with cuts and fills; structure excavation and backfill; finish grading; footer trenching; soil testing; related field staking; site equipment rental fees. </t>
  </si>
  <si>
    <t xml:space="preserve">Demolition and Asbestos Abatement </t>
  </si>
  <si>
    <t xml:space="preserve">Labor and material related to demolition, asbestos abatement and any other environmental related tasks. </t>
  </si>
  <si>
    <t xml:space="preserve">Site Utilities </t>
  </si>
  <si>
    <t xml:space="preserve">Roads, Walks and Paving </t>
  </si>
  <si>
    <t xml:space="preserve">Site Improvements </t>
  </si>
  <si>
    <t xml:space="preserve">Lawns and Planting </t>
  </si>
  <si>
    <t xml:space="preserve">Retaining Walls </t>
  </si>
  <si>
    <t xml:space="preserve">Labor and material related to wood or stone retaining walls, bracing, etc. </t>
  </si>
  <si>
    <t xml:space="preserve">Unusual Site Conditions </t>
  </si>
  <si>
    <t xml:space="preserve">Labor and material related to any unusual site conditions. Contractor to provide description of such work. </t>
  </si>
  <si>
    <t xml:space="preserve">Concrete </t>
  </si>
  <si>
    <t>Labor and material related to footer concrete, cast-in-place or precast concrete work within a structure, including foundations, piers, floors, walls, etc.; formwork; reinforcement; cementations decks and toppings; gypcrete; related concrete testing; etc.</t>
  </si>
  <si>
    <t xml:space="preserve">Masonry </t>
  </si>
  <si>
    <t xml:space="preserve">Labor and material related to concrete block within a structure, including elevator shaft, mortar; reinforcement; wall ties; masonry window sill; grouting; cleaning; brick or stone work within a structure; mortar; grouting and cleaning; lintels, etc. </t>
  </si>
  <si>
    <t xml:space="preserve">Pest Control </t>
  </si>
  <si>
    <t xml:space="preserve">Termite protection on the site, foundations and any other type of pest control. </t>
  </si>
  <si>
    <t xml:space="preserve">Metals </t>
  </si>
  <si>
    <t xml:space="preserve">Labor and material related to the installation of any type metals. </t>
  </si>
  <si>
    <t xml:space="preserve">Rough Carpentry </t>
  </si>
  <si>
    <t xml:space="preserve">Labor and material related to wood framing; sheathing; sub flooring; wood decking; wood trusses; glued-laminated construction; stairs; framing steel; house wrap. </t>
  </si>
  <si>
    <t xml:space="preserve">Finish Carpentry </t>
  </si>
  <si>
    <t xml:space="preserve">Waterproofing </t>
  </si>
  <si>
    <t xml:space="preserve">Insulation </t>
  </si>
  <si>
    <t xml:space="preserve">Labor and material related to the installation of perimeter, floor, wall and ceiling insulation; vapor barriers; fireproofing; and any other type of insulation. </t>
  </si>
  <si>
    <t xml:space="preserve">Roofing </t>
  </si>
  <si>
    <t xml:space="preserve">Labor and material related to the installation of roofing felt; shingles; roofing tile; membrane roofing; attic/roof ventilators; drip edge; flashing; and any other types of roofing. </t>
  </si>
  <si>
    <t xml:space="preserve">Siding, Soffit, Fascia, and Exterior Sheathing </t>
  </si>
  <si>
    <t xml:space="preserve">Gutters and Downspouts </t>
  </si>
  <si>
    <t xml:space="preserve">Labor and material related to the installation of gutters; downspouts; fasteners, etc. </t>
  </si>
  <si>
    <t xml:space="preserve">Doors </t>
  </si>
  <si>
    <t xml:space="preserve">Labor (unless included elsewhere) and material related to the installation of exterior doors; frames; garage doors; garage door openers; sliding doors; screen/storm doors; hardware; thresholds; weather-stripping. </t>
  </si>
  <si>
    <t xml:space="preserve">Windows </t>
  </si>
  <si>
    <t xml:space="preserve">Labor (unless included elsewhere) and material related to the installation of vinyl, wood, steel, aluminum, clad or any other type of windows; screens; storm windows; glazing; weather-stripping; hardware. </t>
  </si>
  <si>
    <t xml:space="preserve">Glass </t>
  </si>
  <si>
    <t xml:space="preserve">Labor and material related to the installation of store front glass; glass; glazing; special glazing; and any other type of glass not included in doors or windows. </t>
  </si>
  <si>
    <t xml:space="preserve">Drywall </t>
  </si>
  <si>
    <t xml:space="preserve">Labor and material related to gypsum board systems for walls and ceiling, taped and finished; resilient channels and clips; wall texture; and any other types of interior wall finishes prior to painting. </t>
  </si>
  <si>
    <t xml:space="preserve">Tile Work and Wood Flooring </t>
  </si>
  <si>
    <t xml:space="preserve">Labor and material related to the installation of any type of flooring tile or hardwood. Any type of flooring not included in Resilient Flooring or Carpeting. </t>
  </si>
  <si>
    <t xml:space="preserve">Acoustical </t>
  </si>
  <si>
    <t xml:space="preserve">Labor and material related to the installation of ceiling tiles; ceiling tile grids; sound absorbing panels in walls or floors; grid bracing and wiring; etc. </t>
  </si>
  <si>
    <t xml:space="preserve">Resilient Flooring </t>
  </si>
  <si>
    <t xml:space="preserve">Labor and material related to the installation of floor underlayment; all types of resilient tile or sheet good flooring; cove base; adhesives; stair treads and risers; edging; etc. </t>
  </si>
  <si>
    <t xml:space="preserve">Painting and Decorating </t>
  </si>
  <si>
    <t xml:space="preserve">Labor and material related to the priming and painting of exterior and interior walls, ceilings, doors, windows, trim, lintels, and other surfaces; caulking; decorations; etc. </t>
  </si>
  <si>
    <t xml:space="preserve">Specialties </t>
  </si>
  <si>
    <t xml:space="preserve">Trash Chute </t>
  </si>
  <si>
    <t xml:space="preserve">Labor and material related to the installation of the trash chute. </t>
  </si>
  <si>
    <t xml:space="preserve">Special Equipment </t>
  </si>
  <si>
    <t xml:space="preserve">Labor and material related to the installation of washers, clothes dryers, laundry equipment, furnishings, equipment for offices, and any other type of equipment. </t>
  </si>
  <si>
    <t xml:space="preserve">Cabinets and Countertops </t>
  </si>
  <si>
    <t xml:space="preserve">Labor and material related to the installation of kitchen wall and base cabinets; bath vanities; hardware; special cabinets; laminate, granite or any other type of tops; and any other cabinetry and tops included. </t>
  </si>
  <si>
    <t xml:space="preserve">Appliances </t>
  </si>
  <si>
    <t xml:space="preserve">Labor and material related to the installation of refrigerators, ranges/stoves, range hoods, disposals, dishwashers, trash compactors, and any other appliances. </t>
  </si>
  <si>
    <t xml:space="preserve">Blinds and Shades, Artwork </t>
  </si>
  <si>
    <t xml:space="preserve">Labor and material related to the installation of window blinds; shades; draperies; drapery rods; attached artwork. </t>
  </si>
  <si>
    <t xml:space="preserve">Carpeting </t>
  </si>
  <si>
    <t xml:space="preserve">Labor and material related to the installation of carpet; carpet tile; padding adhesives; edging; etc. </t>
  </si>
  <si>
    <t xml:space="preserve">Special Construction </t>
  </si>
  <si>
    <t xml:space="preserve">Elevators </t>
  </si>
  <si>
    <t xml:space="preserve">Labor and material related to the installation of elevators. </t>
  </si>
  <si>
    <t xml:space="preserve">Plumbing and Hot Water </t>
  </si>
  <si>
    <t xml:space="preserve">Labor and materials related to installation of sprinkler system, fire extinguishers and cabinets, fire stop canisters, knox box, etc. </t>
  </si>
  <si>
    <t xml:space="preserve">Heating, Ventilation and Air Conditioning </t>
  </si>
  <si>
    <t xml:space="preserve">Electrical </t>
  </si>
  <si>
    <t xml:space="preserve">Miscellaneous (Labor and Materials)** </t>
  </si>
  <si>
    <t xml:space="preserve">Contractor to describe costs included in this Trade Item. </t>
  </si>
  <si>
    <t xml:space="preserve">Building Permit, Tap Fees and Impact Fees </t>
  </si>
  <si>
    <t xml:space="preserve">Amounts paid for any type of permits, tap fees, and impact fees. </t>
  </si>
  <si>
    <t xml:space="preserve">Amounts paid for insurance during the construction period. </t>
  </si>
  <si>
    <t xml:space="preserve">Bond Premium </t>
  </si>
  <si>
    <t xml:space="preserve">Amounts paid for performance, payment and any other types of bonds. </t>
  </si>
  <si>
    <t xml:space="preserve">Site Security </t>
  </si>
  <si>
    <t xml:space="preserve">Amounts paid for site security. </t>
  </si>
  <si>
    <t>Other GC Fee Descriptions</t>
  </si>
  <si>
    <t>Trade Item Descriptions</t>
  </si>
  <si>
    <t>Construction Cost Descriptions</t>
  </si>
  <si>
    <t>Detached Non-Residential Details</t>
  </si>
  <si>
    <t xml:space="preserve">Enter any additional budget description or explanation here: </t>
  </si>
  <si>
    <t>Amortization Term (Months)</t>
  </si>
  <si>
    <t>Interim/Finance</t>
  </si>
  <si>
    <t>Total Acquisition Basis</t>
  </si>
  <si>
    <t>Total Rehabilitation Basis</t>
  </si>
  <si>
    <t>Total New Construction Basis</t>
  </si>
  <si>
    <t>Total Eligible Basis</t>
  </si>
  <si>
    <t>Acquisition Basis</t>
  </si>
  <si>
    <t>Rehabilitation Basis</t>
  </si>
  <si>
    <t>New Construction Basis</t>
  </si>
  <si>
    <t>Deducted Federal Financing</t>
  </si>
  <si>
    <t xml:space="preserve">Project History </t>
  </si>
  <si>
    <t>Other 4</t>
  </si>
  <si>
    <t>If financial structure is atypical or otherwise subject to change, explain when and how changes could occur.</t>
  </si>
  <si>
    <t>Non-Qualifying Units</t>
  </si>
  <si>
    <t>Historic Tax Credit</t>
  </si>
  <si>
    <t>Net Eligible Basis</t>
  </si>
  <si>
    <t># of Sites in a QCT or DDA</t>
  </si>
  <si>
    <t>% of Sites in a QCT or DDA</t>
  </si>
  <si>
    <t>Urban/Non-Urban</t>
  </si>
  <si>
    <t>Pool</t>
  </si>
  <si>
    <t>USR for Opportunity</t>
  </si>
  <si>
    <t>% ELI</t>
  </si>
  <si>
    <t>Applicable Fraction</t>
  </si>
  <si>
    <t>Low Income Unit Fraction</t>
  </si>
  <si>
    <t>Low Income Floor Space Fraction</t>
  </si>
  <si>
    <t>Set Aside</t>
  </si>
  <si>
    <t>Applicable Tax Credit Percentage</t>
  </si>
  <si>
    <t>Syndicator/Investor Name</t>
  </si>
  <si>
    <t>Type of Offering</t>
  </si>
  <si>
    <t>Fund Name/Number</t>
  </si>
  <si>
    <t>Upper tier Bridge Loan interest</t>
  </si>
  <si>
    <t>Lower tier other Bridge Loan interest</t>
  </si>
  <si>
    <t>Other deductions</t>
  </si>
  <si>
    <t>Lower tier OHFA Bridge Loan interest</t>
  </si>
  <si>
    <t>Net Equity</t>
  </si>
  <si>
    <t>Must equal the Housing Credit Net Equity amount listed in the conditional equity commitment letter</t>
  </si>
  <si>
    <t>Program &amp; Pool Information</t>
  </si>
  <si>
    <t>Mark to Market</t>
  </si>
  <si>
    <t>Any buildings listed on National Register of Historic Places?</t>
  </si>
  <si>
    <t>Fees</t>
  </si>
  <si>
    <t>Estimated</t>
  </si>
  <si>
    <t xml:space="preserve">Transmittal Cover Sheet </t>
  </si>
  <si>
    <t>Project Number</t>
  </si>
  <si>
    <t>Owner Type</t>
  </si>
  <si>
    <t>% of Ownership</t>
  </si>
  <si>
    <t>Unit Summary</t>
  </si>
  <si>
    <t>Total Units</t>
  </si>
  <si>
    <t>Sensory Units</t>
  </si>
  <si>
    <t>Mobility Units</t>
  </si>
  <si>
    <t>ELI Units</t>
  </si>
  <si>
    <t>Scattered Site</t>
  </si>
  <si>
    <t>HDL Request</t>
  </si>
  <si>
    <t>Bond Request</t>
  </si>
  <si>
    <t>MLP Request</t>
  </si>
  <si>
    <t>HDAP Recipient Name</t>
  </si>
  <si>
    <t>Executive Director, President, or CEO</t>
  </si>
  <si>
    <t>Name</t>
  </si>
  <si>
    <t>HDAP Recipient</t>
  </si>
  <si>
    <t>Was Davis-Bacon used to estimate labor costs?</t>
  </si>
  <si>
    <t xml:space="preserve">State of Ohio Prevailing Wage applies? </t>
  </si>
  <si>
    <t>Estimate only</t>
  </si>
  <si>
    <t>Was Prevailing Wage used to estimate labor costs?</t>
  </si>
  <si>
    <t>Are 12% or more of project sources federal?</t>
  </si>
  <si>
    <t>Wage Rates</t>
  </si>
  <si>
    <t>Project involves acquisition of existing buildings?</t>
  </si>
  <si>
    <t>Project involves temporary or permanent relocation?</t>
  </si>
  <si>
    <t>Housing Development Loan</t>
  </si>
  <si>
    <t>Requested Loan Amount</t>
  </si>
  <si>
    <t>Requested Loan Term</t>
  </si>
  <si>
    <t>Estimated Closing Date</t>
  </si>
  <si>
    <t>Estimated Loan Benefit</t>
  </si>
  <si>
    <t>Click Here to Read HDL Guidelines</t>
  </si>
  <si>
    <t>Narratives</t>
  </si>
  <si>
    <t>Provide a short project overview of 1,000 characters or less (including spaces).</t>
  </si>
  <si>
    <t>ACQ</t>
  </si>
  <si>
    <t>SR</t>
  </si>
  <si>
    <t>NC</t>
  </si>
  <si>
    <t>Allowable</t>
  </si>
  <si>
    <t>Amort</t>
  </si>
  <si>
    <t>% of Sources</t>
  </si>
  <si>
    <t>Total Project Cost</t>
  </si>
  <si>
    <t>Total Project Costs</t>
  </si>
  <si>
    <t>Equity Factor</t>
  </si>
  <si>
    <t>Net Proceeds</t>
  </si>
  <si>
    <t>Requested</t>
  </si>
  <si>
    <t>10 Yr Total</t>
  </si>
  <si>
    <t>LP Total</t>
  </si>
  <si>
    <t>LP% Ownership</t>
  </si>
  <si>
    <t>Net Monthly Tenant Rents</t>
  </si>
  <si>
    <t># of Bedrooms</t>
  </si>
  <si>
    <t>Rent to Project per Unit</t>
  </si>
  <si>
    <t>Affordable to % AMGI</t>
  </si>
  <si>
    <t>Max LIHTC Rent Limit</t>
  </si>
  <si>
    <t>Income % Increase</t>
  </si>
  <si>
    <t>Expenses % Increase</t>
  </si>
  <si>
    <t>Vacancy %</t>
  </si>
  <si>
    <t>Replacement Expense/Yr</t>
  </si>
  <si>
    <t>Replacement Expense/Yr/Unit</t>
  </si>
  <si>
    <t>Primary Census Tract</t>
  </si>
  <si>
    <t>Per Unit</t>
  </si>
  <si>
    <t>Net Operating Expense/Yr</t>
  </si>
  <si>
    <t>Net Operating Expense/Yr/Unit</t>
  </si>
  <si>
    <t>Construction Type</t>
  </si>
  <si>
    <t>Stable Year</t>
  </si>
  <si>
    <t>YR 2</t>
  </si>
  <si>
    <t>YR 3</t>
  </si>
  <si>
    <t>YR 4</t>
  </si>
  <si>
    <t>YR 5</t>
  </si>
  <si>
    <t>YR 6</t>
  </si>
  <si>
    <t>YR 7</t>
  </si>
  <si>
    <t>YR 8</t>
  </si>
  <si>
    <t>YR 9</t>
  </si>
  <si>
    <t>YR 10</t>
  </si>
  <si>
    <t>YR 11</t>
  </si>
  <si>
    <t>YR 12</t>
  </si>
  <si>
    <t>YR 13</t>
  </si>
  <si>
    <t>YR 14</t>
  </si>
  <si>
    <t>YR 15</t>
  </si>
  <si>
    <t>YR 16</t>
  </si>
  <si>
    <t>YR 17</t>
  </si>
  <si>
    <t>YR 18</t>
  </si>
  <si>
    <t>YR 19</t>
  </si>
  <si>
    <t>YR 20</t>
  </si>
  <si>
    <t>YR 21</t>
  </si>
  <si>
    <t>YR 22</t>
  </si>
  <si>
    <t>YR 23</t>
  </si>
  <si>
    <t>YR 24</t>
  </si>
  <si>
    <t>YR 25</t>
  </si>
  <si>
    <t>YR 26</t>
  </si>
  <si>
    <t>YR 27</t>
  </si>
  <si>
    <t>YR 28</t>
  </si>
  <si>
    <t>YR 29</t>
  </si>
  <si>
    <t>YR 30</t>
  </si>
  <si>
    <t>Annual Net Rents</t>
  </si>
  <si>
    <t>Annual Res. Fee Income</t>
  </si>
  <si>
    <t>Other Res. Income</t>
  </si>
  <si>
    <t>(Vacancy Allowance)</t>
  </si>
  <si>
    <t>(Tenant Contributions)</t>
  </si>
  <si>
    <t>(Operating Expenses)</t>
  </si>
  <si>
    <t>Tax Abatement</t>
  </si>
  <si>
    <t>Operating Subsidy</t>
  </si>
  <si>
    <t>Project Information</t>
  </si>
  <si>
    <t>Loan Term (Years)</t>
  </si>
  <si>
    <t>Cashflow</t>
  </si>
  <si>
    <t>HRD DCR</t>
  </si>
  <si>
    <t>Overall Cash Flow</t>
  </si>
  <si>
    <t>OHFA Eligible Basis Adjustment Calculation</t>
  </si>
  <si>
    <t>% Difference</t>
  </si>
  <si>
    <t>LIHTC Equity Needed</t>
  </si>
  <si>
    <t>Excess LIHTC Equity</t>
  </si>
  <si>
    <t>New LIHTC Equity Total</t>
  </si>
  <si>
    <t>Gap</t>
  </si>
  <si>
    <t>Gap % (&lt;10%)</t>
  </si>
  <si>
    <t>(Ineligible Federal Grants and Loans)</t>
  </si>
  <si>
    <t>(Historic Tax Credit - Residential Portion only)</t>
  </si>
  <si>
    <t>Percentage of sites in a QCT</t>
  </si>
  <si>
    <t>Total Adjusted Eligible Basis</t>
  </si>
  <si>
    <t>(Underwrite Adjustment - See OHFA Proforma)</t>
  </si>
  <si>
    <t>Net OHFA Adjustments - Adjusted Basis</t>
  </si>
  <si>
    <t>(Previous Years Allocation)</t>
  </si>
  <si>
    <t>(Non-Qualifying Units of Higher Quality)</t>
  </si>
  <si>
    <t>Click Here to Read MLP Guidelines</t>
  </si>
  <si>
    <t>Amount of MLP Requested</t>
  </si>
  <si>
    <t>Developer</t>
  </si>
  <si>
    <t>Co-Developer</t>
  </si>
  <si>
    <t>Prior Development Name</t>
  </si>
  <si>
    <t>Role in Past Development</t>
  </si>
  <si>
    <t>% Complete</t>
  </si>
  <si>
    <t>New Construction or Rehab?</t>
  </si>
  <si>
    <t>Primary Source of Funds</t>
  </si>
  <si>
    <t>Secondary Source of Funds</t>
  </si>
  <si>
    <t>Management Company</t>
  </si>
  <si>
    <t>Other Team Members</t>
  </si>
  <si>
    <t>Entity</t>
  </si>
  <si>
    <t xml:space="preserve">Any findings in the past five years of financial audits? </t>
  </si>
  <si>
    <t>Year Completed or Management Assumed</t>
  </si>
  <si>
    <t>Team Member Roles</t>
  </si>
  <si>
    <t>Predevelopment Planning</t>
  </si>
  <si>
    <t>Site Selection</t>
  </si>
  <si>
    <t>Development Team Selection</t>
  </si>
  <si>
    <t>Negotiation of Partnership Agreement</t>
  </si>
  <si>
    <t>Design</t>
  </si>
  <si>
    <t>Work Write-up for Rehab</t>
  </si>
  <si>
    <t>Feasibility Analysis</t>
  </si>
  <si>
    <t>Financing Arrangements</t>
  </si>
  <si>
    <t>Contractor Selection</t>
  </si>
  <si>
    <t>Construction Management</t>
  </si>
  <si>
    <t>Construction Close-out</t>
  </si>
  <si>
    <t>Marketing</t>
  </si>
  <si>
    <t>Lease-up of Rental Units</t>
  </si>
  <si>
    <t>Ongoing Project Compliance</t>
  </si>
  <si>
    <t>Mgmt Co</t>
  </si>
  <si>
    <t>Partnership Description</t>
  </si>
  <si>
    <t>Application Type</t>
  </si>
  <si>
    <t>Bond Type</t>
  </si>
  <si>
    <t>Aggregate Basis plus Land</t>
  </si>
  <si>
    <t>Term</t>
  </si>
  <si>
    <t>Series A</t>
  </si>
  <si>
    <t>Series B</t>
  </si>
  <si>
    <t>Series C</t>
  </si>
  <si>
    <t>If Acquisition, Building Value</t>
  </si>
  <si>
    <t>If Acquisition, Source</t>
  </si>
  <si>
    <t>Bond Counsel</t>
  </si>
  <si>
    <t>Investment Banker</t>
  </si>
  <si>
    <t>Mortgage Banker</t>
  </si>
  <si>
    <t>Guarantor</t>
  </si>
  <si>
    <t>Paying Agent</t>
  </si>
  <si>
    <t>Mortgage Servicer</t>
  </si>
  <si>
    <t>Trustee Bank</t>
  </si>
  <si>
    <t>Owner's Counsel</t>
  </si>
  <si>
    <t>Trustee's Counsel</t>
  </si>
  <si>
    <t>Underwriter's Counsel</t>
  </si>
  <si>
    <t>Cell #</t>
  </si>
  <si>
    <t>Credit Enhancement Type</t>
  </si>
  <si>
    <t>Credit Enhancement Term</t>
  </si>
  <si>
    <t>Describe (1) the benefits that the future and/or current residents and the community will receive; and (2) the costs savings and any financial benefits that the owner of the project will receive resulting from the tax-exempt bond transaction.  Be specific.</t>
  </si>
  <si>
    <t>Bonds Overview</t>
  </si>
  <si>
    <t>Receipts &amp; Disbursements</t>
  </si>
  <si>
    <t>Series A Bonds</t>
  </si>
  <si>
    <t>Series B Bonds</t>
  </si>
  <si>
    <t>Taxable Bonds</t>
  </si>
  <si>
    <t>Other Funds</t>
  </si>
  <si>
    <t>Principal Amount of Bonds</t>
  </si>
  <si>
    <t>Less: Original Issue Discount</t>
  </si>
  <si>
    <t>Plus: Accrued Interest</t>
  </si>
  <si>
    <t>Net Receipts on Bonds</t>
  </si>
  <si>
    <t>Plus: Mortgage Payment(s)</t>
  </si>
  <si>
    <t>Plus: Debt Service Reserve</t>
  </si>
  <si>
    <t>Plus: Bond Fund Balance</t>
  </si>
  <si>
    <t>Plus: Other 1</t>
  </si>
  <si>
    <t>Plus: Other 2</t>
  </si>
  <si>
    <t>Receipts</t>
  </si>
  <si>
    <t>Disbursements</t>
  </si>
  <si>
    <t>Accrued Interest to Bond Fund</t>
  </si>
  <si>
    <t>Debt Service Reserve Fund</t>
  </si>
  <si>
    <t>Cash Deposit to Escrow Fund</t>
  </si>
  <si>
    <t>Project Repairs Escrow</t>
  </si>
  <si>
    <t>*Costs of Issuance</t>
  </si>
  <si>
    <t>Deposit to Bond Fund</t>
  </si>
  <si>
    <t>Any amount over 2% must be noted from another source above.</t>
  </si>
  <si>
    <t>Total Receipts (Equal TPC)</t>
  </si>
  <si>
    <t>Cost of Issuance Breakdown</t>
  </si>
  <si>
    <t>Investment Banker's Fee</t>
  </si>
  <si>
    <t>Other Related Issuance Costs</t>
  </si>
  <si>
    <t>Clearance fee</t>
  </si>
  <si>
    <t>MSRB/PSA</t>
  </si>
  <si>
    <t>CUSPID</t>
  </si>
  <si>
    <t>Miscellaneous contingency</t>
  </si>
  <si>
    <t>Investment Banker's Counsel Fee</t>
  </si>
  <si>
    <t>Trustee's Fee</t>
  </si>
  <si>
    <t>Special Counsel</t>
  </si>
  <si>
    <t>% of Tax-Exempt Bonds</t>
  </si>
  <si>
    <t>Issuer's Application Fee/Expenses</t>
  </si>
  <si>
    <t>Issuer's Counsel Fee/Expenses</t>
  </si>
  <si>
    <t>Bond Counsel Fee/Expenses</t>
  </si>
  <si>
    <t>Lender's Counsel Fee/Expenses</t>
  </si>
  <si>
    <t>Trustee's Counsel Expenses</t>
  </si>
  <si>
    <t>Other Issuance Costs Subtotal</t>
  </si>
  <si>
    <t>Printing Securities &amp; Offering Docs</t>
  </si>
  <si>
    <t>How to Use this Workbook</t>
  </si>
  <si>
    <t>Document Submission Requirements</t>
  </si>
  <si>
    <t>Multifamily Lending Program</t>
  </si>
  <si>
    <t>Photograph or Rendering</t>
  </si>
  <si>
    <t>Development Team Information</t>
  </si>
  <si>
    <t>General Contractor</t>
  </si>
  <si>
    <t>Syndicator</t>
  </si>
  <si>
    <t>Architect</t>
  </si>
  <si>
    <t>Developer Contact</t>
  </si>
  <si>
    <t>Ownership Information</t>
  </si>
  <si>
    <t>Wage Rate Information</t>
  </si>
  <si>
    <t>Parent Organization</t>
  </si>
  <si>
    <t>Parent Company</t>
  </si>
  <si>
    <t>Construction Financing Sources</t>
  </si>
  <si>
    <t>Permanent Financing Sources</t>
  </si>
  <si>
    <t>Development Budget</t>
  </si>
  <si>
    <t>Operating Expenses</t>
  </si>
  <si>
    <t>Predevelopment</t>
  </si>
  <si>
    <t>Site Development</t>
  </si>
  <si>
    <t>Compliance Costs</t>
  </si>
  <si>
    <t>Interim Costs/Finance</t>
  </si>
  <si>
    <t>Wage Requirement</t>
  </si>
  <si>
    <t>"Other" Detail</t>
  </si>
  <si>
    <t>IN WITNESS WHEREOF, the undersigned has caused this document to be duly executed in its name on</t>
  </si>
  <si>
    <t>this</t>
  </si>
  <si>
    <t xml:space="preserve">day of </t>
  </si>
  <si>
    <t>Legal Name of Actual or Proposed Ownership Entity</t>
  </si>
  <si>
    <t>BY:</t>
  </si>
  <si>
    <t>Authorized Signatory - General Partner</t>
  </si>
  <si>
    <t>Print Name</t>
  </si>
  <si>
    <t>, 20____</t>
  </si>
  <si>
    <t>Architect of Record</t>
  </si>
  <si>
    <t>Formula, auto-populate, or other locked cell</t>
  </si>
  <si>
    <t>Affordable Units</t>
  </si>
  <si>
    <t>Revitalization Plan</t>
  </si>
  <si>
    <t>Type HTC</t>
  </si>
  <si>
    <t>CHDO</t>
  </si>
  <si>
    <t>QCT</t>
  </si>
  <si>
    <t>Drop-down or other restricted answer. Do not leave blank, select N/A.</t>
  </si>
  <si>
    <t>DDA</t>
  </si>
  <si>
    <t>Age Range</t>
  </si>
  <si>
    <t>This page auto-populates, do NOT enter data.</t>
  </si>
  <si>
    <t>Base Fee</t>
  </si>
  <si>
    <t>Per Unit Fee</t>
  </si>
  <si>
    <t>Supplement Amount</t>
  </si>
  <si>
    <t>Eligibility</t>
  </si>
  <si>
    <t>Prevailing Wage Required</t>
  </si>
  <si>
    <t>Amount Requested</t>
  </si>
  <si>
    <t>Amount Deferred</t>
  </si>
  <si>
    <t>Permanent First Loan, Hard Debt</t>
  </si>
  <si>
    <t>Developer Fee Calculation</t>
  </si>
  <si>
    <t>Developer Fee</t>
  </si>
  <si>
    <t>Developer-Charged Financing Fees</t>
  </si>
  <si>
    <t>Developer Fee (DV)</t>
  </si>
  <si>
    <t>Construction Management Fees (DV)</t>
  </si>
  <si>
    <t>Guarantee Fees (DV)</t>
  </si>
  <si>
    <t>Developer-Charged Financing Fees (DV)</t>
  </si>
  <si>
    <t xml:space="preserve">Construction Management Fees </t>
  </si>
  <si>
    <t xml:space="preserve">Guarantee Fees </t>
  </si>
  <si>
    <t>Base Fee + Supplemental</t>
  </si>
  <si>
    <t>Budget Requests</t>
  </si>
  <si>
    <t>9% Base Fee Calculation</t>
  </si>
  <si>
    <t>Fee as Percentage of TDC</t>
  </si>
  <si>
    <t>9% Supplemental Fee Calculation</t>
  </si>
  <si>
    <t>20% Allowable Developer Fee</t>
  </si>
  <si>
    <t>■</t>
  </si>
  <si>
    <t>Appraisal</t>
  </si>
  <si>
    <t>Authorization to Release Tax Information</t>
  </si>
  <si>
    <t>Community Outreach Plan</t>
  </si>
  <si>
    <t>Conditional Financial Commitments</t>
  </si>
  <si>
    <t>Development Team Experience and Capacity Review</t>
  </si>
  <si>
    <t>Development Team Consultant Statement</t>
  </si>
  <si>
    <t>Evidence of Site Control</t>
  </si>
  <si>
    <t>Exception Requests</t>
  </si>
  <si>
    <t>Federal Tax Identification Number Documentation</t>
  </si>
  <si>
    <t>Green Certification</t>
  </si>
  <si>
    <t>Market Study</t>
  </si>
  <si>
    <t>Ohio Housing Locator</t>
  </si>
  <si>
    <t>Related Party Transaction Questionnaire</t>
  </si>
  <si>
    <t>Relocation Plan</t>
  </si>
  <si>
    <t>Rental Subsidy Contract</t>
  </si>
  <si>
    <t>Supportive Services Plan &amp; Providers</t>
  </si>
  <si>
    <t>Utility Allowance Information</t>
  </si>
  <si>
    <t>Zoning</t>
  </si>
  <si>
    <t>Multifamily Bond Financing Information</t>
  </si>
  <si>
    <t>Doc#</t>
  </si>
  <si>
    <t>DUE WITH</t>
  </si>
  <si>
    <t>Commercial Areas and Fee-Driven Space</t>
  </si>
  <si>
    <t>Boost for Service Enriched</t>
  </si>
  <si>
    <t>Legally Required Wage Rates</t>
  </si>
  <si>
    <t># Units Set Aside</t>
  </si>
  <si>
    <t>HDAP Authorized Signor</t>
  </si>
  <si>
    <t>Other, Describe</t>
  </si>
  <si>
    <t>Site/Building Address</t>
  </si>
  <si>
    <t>Annual Rent</t>
  </si>
  <si>
    <t>Total Basis</t>
  </si>
  <si>
    <t>SOURCES &amp; USES</t>
  </si>
  <si>
    <t>Total Uses</t>
  </si>
  <si>
    <t>Self-Syndicating?</t>
  </si>
  <si>
    <t>Perm1</t>
  </si>
  <si>
    <t>Perm2</t>
  </si>
  <si>
    <t>Other 5</t>
  </si>
  <si>
    <t>Perm 1</t>
  </si>
  <si>
    <t>Perm 2</t>
  </si>
  <si>
    <t>Total Qualified Basis</t>
  </si>
  <si>
    <t>Adjusted Basis with Boost</t>
  </si>
  <si>
    <t>HDL Guidelines</t>
  </si>
  <si>
    <t xml:space="preserve">This page auto-populates and is for developer/analyst information only; all developer fees must be reflected in budget. </t>
  </si>
  <si>
    <t xml:space="preserve">The majority of this page auto-calculates; enter only the limited information requested below, if applicable. </t>
  </si>
  <si>
    <t>Minority Member1</t>
  </si>
  <si>
    <t>Minority Member2</t>
  </si>
  <si>
    <t xml:space="preserve">Other: </t>
  </si>
  <si>
    <t>Application/Development Consultant Fees (DV)</t>
  </si>
  <si>
    <t>Boost for Opportunity</t>
  </si>
  <si>
    <t>Must be reflected in Sources &amp; Uses</t>
  </si>
  <si>
    <t>Total Eligible Fee</t>
  </si>
  <si>
    <t xml:space="preserve">Application/Development Consultant Fees </t>
  </si>
  <si>
    <t xml:space="preserve"> 2. Phase I Environmental Review</t>
  </si>
  <si>
    <t xml:space="preserve"> 1. Land or Building Acquired</t>
  </si>
  <si>
    <t xml:space="preserve"> 3. Zoning Permit Obtained</t>
  </si>
  <si>
    <t>13. 50% Completion</t>
  </si>
  <si>
    <t>14. Occupancy Approval</t>
  </si>
  <si>
    <t>Must have knowledge to answer all application questions.</t>
  </si>
  <si>
    <t>Must have knowledge to answer general application questions.</t>
  </si>
  <si>
    <t>Contractor Overhead</t>
  </si>
  <si>
    <t>Contractor Profits</t>
  </si>
  <si>
    <t>Budget &amp; Costs</t>
  </si>
  <si>
    <t>5-Digit Zip (do NOT enter +4)</t>
  </si>
  <si>
    <t># Energy Star Units</t>
  </si>
  <si>
    <t>Does this project involve the permanent or temporary relocation of any commercial or residential tenants, or will any occupied portion of the project be made vacant?</t>
  </si>
  <si>
    <t>Are you seeking Community Housing Development Organization status?</t>
  </si>
  <si>
    <t>Portion of federal grants used to finance qualifying development costs</t>
  </si>
  <si>
    <t>Permanent Parcel #(s)</t>
  </si>
  <si>
    <t>Seller(s) Name</t>
  </si>
  <si>
    <t>Seller(s) Address</t>
  </si>
  <si>
    <t>Percent of Requested Deferred</t>
  </si>
  <si>
    <t>Percent of Eligible Fee Deferred</t>
  </si>
  <si>
    <t>Percentage of QCT/DDA Sites</t>
  </si>
  <si>
    <t>HUD Sec. 202 or Sec. 811 Capital Advance</t>
  </si>
  <si>
    <t>OHFA HDL Fee</t>
  </si>
  <si>
    <t>Developer-Charged Asset Management Fee (DV)</t>
  </si>
  <si>
    <t xml:space="preserve">Developer-Charged Asset Mgmt Fee </t>
  </si>
  <si>
    <t>Project Address</t>
  </si>
  <si>
    <t>Project City</t>
  </si>
  <si>
    <t>Project Zip</t>
  </si>
  <si>
    <t>Project County</t>
  </si>
  <si>
    <t>Senate District</t>
  </si>
  <si>
    <t>House District</t>
  </si>
  <si>
    <t>Owner Name</t>
  </si>
  <si>
    <t>Owner Address</t>
  </si>
  <si>
    <t>Owner City</t>
  </si>
  <si>
    <t>Owner County</t>
  </si>
  <si>
    <t>Owner State</t>
  </si>
  <si>
    <t>Owner Zip</t>
  </si>
  <si>
    <t>Owner FTI</t>
  </si>
  <si>
    <t>Non-Profit Set Aside</t>
  </si>
  <si>
    <t>AS phone</t>
  </si>
  <si>
    <t>AS email</t>
  </si>
  <si>
    <t>CP phone</t>
  </si>
  <si>
    <t>CP email</t>
  </si>
  <si>
    <t>PM Phone</t>
  </si>
  <si>
    <t>PM Email</t>
  </si>
  <si>
    <t>histTC</t>
  </si>
  <si>
    <t>Housing Credit Requested</t>
  </si>
  <si>
    <t>TDC/unit</t>
  </si>
  <si>
    <t>estPIS</t>
  </si>
  <si>
    <t>M2M</t>
  </si>
  <si>
    <t>PrevBIN</t>
  </si>
  <si>
    <t>TDC</t>
  </si>
  <si>
    <t xml:space="preserve">Acq Other </t>
  </si>
  <si>
    <t>Pre Other</t>
  </si>
  <si>
    <t>Site Other</t>
  </si>
  <si>
    <t>Hard Other</t>
  </si>
  <si>
    <t>Interim Other</t>
  </si>
  <si>
    <t>Professional Soft Other</t>
  </si>
  <si>
    <t>Compliance Other</t>
  </si>
  <si>
    <t>Reserves Other</t>
  </si>
  <si>
    <t>Full Name</t>
  </si>
  <si>
    <t>Development Consultant</t>
  </si>
  <si>
    <t>Site Details</t>
  </si>
  <si>
    <t>Townhome</t>
  </si>
  <si>
    <t>1 Floor</t>
  </si>
  <si>
    <t>2 Floor</t>
  </si>
  <si>
    <t>3 Floor</t>
  </si>
  <si>
    <t>4+ Floor</t>
  </si>
  <si>
    <t>Units/Type</t>
  </si>
  <si>
    <t>OHFA Data Extract</t>
  </si>
  <si>
    <t># Units in Building</t>
  </si>
  <si>
    <t>Zip Code (Additional 4 Digits)</t>
  </si>
  <si>
    <t>Zip Code (First 5 Digits)</t>
  </si>
  <si>
    <t>NON-BASIS</t>
  </si>
  <si>
    <t>Basis+Other</t>
  </si>
  <si>
    <t>COSTS</t>
  </si>
  <si>
    <t>Relocation Costs</t>
  </si>
  <si>
    <t>Relocation</t>
  </si>
  <si>
    <t xml:space="preserve"> </t>
  </si>
  <si>
    <t>Formula, auto-populate, blank, or other unlocked cell where overriding the formula is allowable but very unlikely</t>
  </si>
  <si>
    <t>Boost for Non-Urban Pools</t>
  </si>
  <si>
    <t>Boost for Market &gt;=15%</t>
  </si>
  <si>
    <t>Annual Debt Service</t>
  </si>
  <si>
    <t xml:space="preserve">FOR REFERENCE: 
Total Costs </t>
  </si>
  <si>
    <t>"Other" Wage Detail</t>
  </si>
  <si>
    <t xml:space="preserve">Senior/Housing for Older Persons Exception? </t>
  </si>
  <si>
    <t>Other1</t>
  </si>
  <si>
    <t>Other2</t>
  </si>
  <si>
    <t>Other3</t>
  </si>
  <si>
    <t>Other4</t>
  </si>
  <si>
    <t>Other5</t>
  </si>
  <si>
    <t xml:space="preserve">Include residential sites and buildings only. The same address may be entered multiple times for each building.  You may list multiple parcel numbers for a single building. </t>
  </si>
  <si>
    <t xml:space="preserve"> 4. Appraisal Completed </t>
  </si>
  <si>
    <t xml:space="preserve"> 5. Building Permits Obtained</t>
  </si>
  <si>
    <t xml:space="preserve"> 6. Construction Loan Committed</t>
  </si>
  <si>
    <t>10. Site Preparation and/or Demo Begins</t>
  </si>
  <si>
    <t>12. 10% Completion</t>
  </si>
  <si>
    <t>An executed OHFA Program Certification must be submitted signed by each general partner participating in the project. An original signature is not required, electronic signatures and signature images will be accepted. Do not edit or alter this text; the page is unlocked ONLY to permit uploading signature image.</t>
  </si>
  <si>
    <t>ACQ Eligible</t>
  </si>
  <si>
    <t>SR Eligible</t>
  </si>
  <si>
    <t>NC Eligible</t>
  </si>
  <si>
    <t>Total Eligible</t>
  </si>
  <si>
    <t>The following calculation is an estimate only. Applicants should work with counsel and/or the Ohio Department of Commerce for a thorough examination of prevailing wage requirements.</t>
  </si>
  <si>
    <t xml:space="preserve">Previous HDAP? </t>
  </si>
  <si>
    <t>Amortization Term (Years)</t>
  </si>
  <si>
    <t>HTC Within Last 10 Years?</t>
  </si>
  <si>
    <t xml:space="preserve">Has project ever received HDAP? </t>
  </si>
  <si>
    <t>RAD</t>
  </si>
  <si>
    <t>Other Details (grant, term if soft debt)</t>
  </si>
  <si>
    <t>Proposal Summary PDF</t>
  </si>
  <si>
    <t>Composite Score</t>
  </si>
  <si>
    <t>Lat</t>
  </si>
  <si>
    <t>Lon</t>
  </si>
  <si>
    <t>Total Increase/Decrease over Application</t>
  </si>
  <si>
    <t>10 Yr Request</t>
  </si>
  <si>
    <t>% Market</t>
  </si>
  <si>
    <t>Election and Set Aside Summary</t>
  </si>
  <si>
    <t>Select the minimum set aside</t>
  </si>
  <si>
    <t>DeferredFee</t>
  </si>
  <si>
    <t>OTHER</t>
  </si>
  <si>
    <t>[describe]</t>
  </si>
  <si>
    <t># Mobility Units Identified</t>
  </si>
  <si>
    <t>Minimum # 504 Mobility Units:</t>
  </si>
  <si>
    <t>If 'yes' to any of above, what was project #(s)?</t>
  </si>
  <si>
    <t>Previous HTC Award?</t>
  </si>
  <si>
    <t>Previous HTC Application?</t>
  </si>
  <si>
    <t>Previous Project #</t>
  </si>
  <si>
    <t>Low Rise (1-6 stories)</t>
  </si>
  <si>
    <t>High Rise (7+ stories)</t>
  </si>
  <si>
    <t>Duplex/ Triplex/ Quad</t>
  </si>
  <si>
    <t>Single Family</t>
  </si>
  <si>
    <t>Manager Units</t>
  </si>
  <si>
    <t>Earliest Const</t>
  </si>
  <si>
    <t>Date Originally Constructed (Earliest)</t>
  </si>
  <si>
    <t>Total Buildings</t>
  </si>
  <si>
    <t>Project Tracking Number</t>
  </si>
  <si>
    <t>Average Net Rentable Square Footage per Low Income Unit</t>
  </si>
  <si>
    <t>#1br</t>
  </si>
  <si>
    <t>#2br</t>
  </si>
  <si>
    <t>Total LI units</t>
  </si>
  <si>
    <t>Single Family - 1 Floor</t>
  </si>
  <si>
    <t>Single Family - 2 Floor</t>
  </si>
  <si>
    <t>Single Family - 3 Floor</t>
  </si>
  <si>
    <t>Single Family - 4+ Floor</t>
  </si>
  <si>
    <t>Duplex/Triplex/Quad - 1 Floor</t>
  </si>
  <si>
    <t>Duplex/Triplex/Quad - 2 Floor</t>
  </si>
  <si>
    <t>Duplex/Triplex/Quad - 3 Floor</t>
  </si>
  <si>
    <t>Duplex/Triplex/Quad - 4+ Floor</t>
  </si>
  <si>
    <t>Townhome - 1 Floor</t>
  </si>
  <si>
    <t>Townhome - 2 Floor</t>
  </si>
  <si>
    <t>Townhome - 3 Floor</t>
  </si>
  <si>
    <t>Townhome - 4+ Floor</t>
  </si>
  <si>
    <t>Low Rise (1-6 Stories) - 1 Floor</t>
  </si>
  <si>
    <t>Low Rise (1-6 Stories) - 2 Floor</t>
  </si>
  <si>
    <t>Low Rise (1-6 Stories) - 3 Floor</t>
  </si>
  <si>
    <t>Low Rise (1-6 Stories) - 4+ Floor</t>
  </si>
  <si>
    <t>High Rise (7+ Stories) - 1 Floor</t>
  </si>
  <si>
    <t>High Rise (7+ Stories) - 2 Floor</t>
  </si>
  <si>
    <t>High Rise (7+ Stories) - 3 Floor</t>
  </si>
  <si>
    <t>High Rise (7+ Stories) - 4+ Floor</t>
  </si>
  <si>
    <t>Single Family - Elevator</t>
  </si>
  <si>
    <t>Single Family - Units/Type</t>
  </si>
  <si>
    <t>Duplex/Triplex/Quad - Elevator</t>
  </si>
  <si>
    <t>Duplex/Triplex/Quad - Units/Type</t>
  </si>
  <si>
    <t>Townhome - Elevator</t>
  </si>
  <si>
    <t>Townhome - Units/Type</t>
  </si>
  <si>
    <t>Low Rise (1-6 Stories) - Elevator</t>
  </si>
  <si>
    <t>Low Rise (1-6 Stories) - Units/Type</t>
  </si>
  <si>
    <t>High Rise (7+ Stories) - Elevator</t>
  </si>
  <si>
    <t>High Rise (7+ Stories) - Units/Type</t>
  </si>
  <si>
    <t>#Mobility Units</t>
  </si>
  <si>
    <t>#Sensory Units</t>
  </si>
  <si>
    <t>Largest:</t>
  </si>
  <si>
    <t>#Floors in Tallest Building</t>
  </si>
  <si>
    <t># of Sources</t>
  </si>
  <si>
    <t># of Construction Sources</t>
  </si>
  <si>
    <t>Was Co-Developer Agreement Executed?</t>
  </si>
  <si>
    <t>Actual Developer Fee per Unit</t>
  </si>
  <si>
    <t>Actual Developer Fee per Affordable Unit</t>
  </si>
  <si>
    <t>Acq+Rehab+New Basis, Minus Fee</t>
  </si>
  <si>
    <t>Developer Fee (DSB)</t>
  </si>
  <si>
    <t>Application/Development Consultant Fees (DSB)</t>
  </si>
  <si>
    <t>Construction Management Fees (DSB)</t>
  </si>
  <si>
    <t>Guarantee Fees (DSB)</t>
  </si>
  <si>
    <t>Developer-Charged Financing Fees (DSB)</t>
  </si>
  <si>
    <t>Developer-Charged Asset Management Fee (DSB)</t>
  </si>
  <si>
    <t>("DSB")</t>
  </si>
  <si>
    <t>Majority of Units' Construction Type</t>
  </si>
  <si>
    <t>AHFA</t>
  </si>
  <si>
    <t>Description, Including Purpose and Building Age</t>
  </si>
  <si>
    <t>Nonprofit</t>
  </si>
  <si>
    <t>Market</t>
  </si>
  <si>
    <t xml:space="preserve">Is GC Affiliated with Owner and/or Developer? </t>
  </si>
  <si>
    <t>Affiliated GC?</t>
  </si>
  <si>
    <t>Ownership Type</t>
  </si>
  <si>
    <t>Ownership Entity Name</t>
  </si>
  <si>
    <t>If "Other," Describe</t>
  </si>
  <si>
    <t>Tax Exempt Status</t>
  </si>
  <si>
    <t>Tax Exempt</t>
  </si>
  <si>
    <t>Authorized Signor</t>
  </si>
  <si>
    <t>Owner Tax Exempt</t>
  </si>
  <si>
    <t>Authorized Signor (AS) First</t>
  </si>
  <si>
    <t>AS last</t>
  </si>
  <si>
    <t>Contact Person (CP) First</t>
  </si>
  <si>
    <t>CP Last</t>
  </si>
  <si>
    <t>PM Last</t>
  </si>
  <si>
    <t>Operating Income</t>
  </si>
  <si>
    <t>Prior Awards</t>
  </si>
  <si>
    <t>Budget/Costs</t>
  </si>
  <si>
    <t>Entity Info</t>
  </si>
  <si>
    <t>Is project participating in RAD?</t>
  </si>
  <si>
    <t>Accountant</t>
  </si>
  <si>
    <t>ManagingPartner %</t>
  </si>
  <si>
    <t>Majority ManagingPartner %</t>
  </si>
  <si>
    <t>Minority ManagingPartner1</t>
  </si>
  <si>
    <t>Minority ManagingPartner1 %</t>
  </si>
  <si>
    <t>Minority ManagingPartner2</t>
  </si>
  <si>
    <t>Minority ManagingPartner2 %</t>
  </si>
  <si>
    <t>Managing Partner</t>
  </si>
  <si>
    <t>Ownership Entity</t>
  </si>
  <si>
    <t>Owner-Paid Utilities for Common Areas and Units</t>
  </si>
  <si>
    <t>Average Test</t>
  </si>
  <si>
    <t>Income to Expense Ratio</t>
  </si>
  <si>
    <t>Site Visit Documents</t>
  </si>
  <si>
    <t>Scattered Site Development Map</t>
  </si>
  <si>
    <t>Multifamily Bond Guidelines</t>
  </si>
  <si>
    <t>LIHTC Lease Addendum</t>
  </si>
  <si>
    <t>Limited Partnership Agreement</t>
  </si>
  <si>
    <t>Document Naming Convention</t>
  </si>
  <si>
    <t>Condominimized Space Description</t>
  </si>
  <si>
    <t xml:space="preserve">What type of the following subsidy(ies) will the development receive (select N/A if not subsidized)? </t>
  </si>
  <si>
    <t>Minimum # 504 Sensory Units:</t>
  </si>
  <si>
    <t># Sensory Units Identified</t>
  </si>
  <si>
    <t>Number Parking Spaces:</t>
  </si>
  <si>
    <t>11. Construction Start</t>
  </si>
  <si>
    <t>Enter the total square footage in each category below for all buildings in the project. For multifamily projects, use Building Owner Management Association (BOMA) Multi-Unit Residential Standards using the gross method. For single-family, 1, 2, or 3-family dwellings, or townhome buildings, use BOMA Gross Areas Standard. All square footages shall be calculated and certified by the Architect of Record. See Design and Architectural Standards for definitions and further guidance.</t>
  </si>
  <si>
    <t>Affordable to what % AMGI (rent limit)</t>
  </si>
  <si>
    <t>Occupied by what % AMGI (income limit)</t>
  </si>
  <si>
    <t># Affordable to ELI</t>
  </si>
  <si>
    <t>Meets 40/60</t>
  </si>
  <si>
    <t>Meets 20/50</t>
  </si>
  <si>
    <t>Meets AI</t>
  </si>
  <si>
    <t>Dev Support Budget</t>
  </si>
  <si>
    <t>Does project use Federal Historic Tax Credits?</t>
  </si>
  <si>
    <t>Does project use State Historic Tax Credits?</t>
  </si>
  <si>
    <t xml:space="preserve">Have buildings received an approved Part 1 from OHPO? </t>
  </si>
  <si>
    <t>Hard Construction/Building</t>
  </si>
  <si>
    <t>Contractor Fee</t>
  </si>
  <si>
    <t>Total Contractor Fees</t>
  </si>
  <si>
    <t>Boost for 25% ELI</t>
  </si>
  <si>
    <t>If you selected Average Income, how will you treat multiple buildings at 8609?</t>
  </si>
  <si>
    <t>If you selected the Average Income option and are opting for a separate building election, provide a compelling reason why a multibuilding election is not feasible.</t>
  </si>
  <si>
    <t>Years Nonprofit has continually served the county in which the project is located</t>
  </si>
  <si>
    <t>Is Nonprofit located in/committed to serve the county in which the project is located?</t>
  </si>
  <si>
    <t>Percentage of GP interest to be owned or controlled by Nonprofit</t>
  </si>
  <si>
    <t xml:space="preserve">The following chart should be filled out to reflect the roles that each member of the development team will play. Each role will be filled out in a percentage. For example, for the role of planning, the majority general partner may be involved 60% and the minority general partner 40%. All roles should equal 100%. </t>
  </si>
  <si>
    <t>New Affordability with 25%+ ELI</t>
  </si>
  <si>
    <t>Using Historic Tax Credits</t>
  </si>
  <si>
    <t>State-Certified CHDO</t>
  </si>
  <si>
    <t>Subtotal</t>
  </si>
  <si>
    <t>Date Originally Constructed</t>
  </si>
  <si>
    <t>Estimated Placed in Service Date</t>
  </si>
  <si>
    <t xml:space="preserve">For variable rate loans, enter the present rate at which the variable rate will be computed. For loans without an amortization scheduled (ex. cash flow), enter the loan term as the amortization. OHFA will underwrite loans without an amortization schedule as if they possess an amortization term equal to the loan term. All non-OHFA financing must be conditionally committed at final application. </t>
  </si>
  <si>
    <t>Onsite Improvements</t>
  </si>
  <si>
    <t>Cost / GSF</t>
  </si>
  <si>
    <t>Offsite Improvements</t>
  </si>
  <si>
    <t>Total Onsite Improvements</t>
  </si>
  <si>
    <t>Total Offsite Improvements</t>
  </si>
  <si>
    <t>Siding/Soffit/Fascia/Sheathing</t>
  </si>
  <si>
    <t>Labor (unless included elsewhere) and material related to the installation of toilet and shower compartments; bathroom accessories including but not limited to grab bars, towel bars, toilet paper holders, soap dishes, medicine cabinets, bathroom mirrors; mailboxes; apartment numbers; etc.</t>
  </si>
  <si>
    <t>Labor and material related to the installation of all water and gas piping and fittings within five feet of structures; pipe insulation; bathtubs; water closets; sinks; lavatories; laundry trays; water heaters; pumps; and any other items related to the plumbing.</t>
  </si>
  <si>
    <t>*OHFA will consider reasonable adjustments to these requirements, not to exceed 4% across general requirements, overhead, and profit for contractors that are not related parties.</t>
  </si>
  <si>
    <t>Boost for QCT/DDA</t>
  </si>
  <si>
    <t>Management Company Name</t>
  </si>
  <si>
    <t>Minimum Set Aside Election</t>
  </si>
  <si>
    <t>Management Company Capacity Review</t>
  </si>
  <si>
    <t>Street Address</t>
  </si>
  <si>
    <t>City, State, Zip</t>
  </si>
  <si>
    <t>Email Address</t>
  </si>
  <si>
    <t>How many years has the management company been active in affordable housing management?</t>
  </si>
  <si>
    <t>Within the past 10 years, has a project for which the management company is a principal been involved in a bankruptcy, adverse fair housing settlement, adverse civil rights settlement or adverse federal or state government proceeding and settlement?</t>
  </si>
  <si>
    <t>If yes, please provide details:</t>
  </si>
  <si>
    <t xml:space="preserve">Within the past 10 years, has the management company ever been debarred or received a limited denial of participation by a federal or state agency from participating in a development program?    </t>
  </si>
  <si>
    <t>If yes, please list the project names, addresses and violation:</t>
  </si>
  <si>
    <t xml:space="preserve">Is the management company a subsidiary of another entity?  </t>
  </si>
  <si>
    <t>If yes, what entity:</t>
  </si>
  <si>
    <t>Identify any common interest or ownership between the property owner and the management company.</t>
  </si>
  <si>
    <t xml:space="preserve">Is the management company property incorporated in Ohio? </t>
  </si>
  <si>
    <t>Is the management company third-party managing in Ohio?</t>
  </si>
  <si>
    <t xml:space="preserve">If yes, does a management company representative hold an Ohio Real Estate Broker's license?  </t>
  </si>
  <si>
    <t>Person with License:</t>
  </si>
  <si>
    <t>License Number:</t>
  </si>
  <si>
    <t>Expiration Date:</t>
  </si>
  <si>
    <t>Mgr Units</t>
  </si>
  <si>
    <t>DevCo Field Name</t>
  </si>
  <si>
    <t>PrevailingWage</t>
  </si>
  <si>
    <t>Does project contain fewer than 6 units?</t>
  </si>
  <si>
    <t>Does project contain fewer than 25 units?</t>
  </si>
  <si>
    <t>This includes any loan, grant, low-income housing tax credit, or insurance furnished by the federal government or any of its agencies. The value of the low-income housing tax credits shall be calculated as the proceeds from the sale of the tax credits, less the costs of the sale.</t>
  </si>
  <si>
    <t>See ORC 176.05 (D)(1)(e) for more information on ownership requirements.</t>
  </si>
  <si>
    <t>HUD Subsidy Layering Test</t>
  </si>
  <si>
    <t>15 year Debt / No Debt Coverage Ratio Test:</t>
  </si>
  <si>
    <t xml:space="preserve">  DCR Between 1.10 - 1.45</t>
  </si>
  <si>
    <t>Cash Flow Return Ratio Test:</t>
  </si>
  <si>
    <t xml:space="preserve">  Expense Ratio &lt;=1.10</t>
  </si>
  <si>
    <t>With Debt</t>
  </si>
  <si>
    <t>Without Debt</t>
  </si>
  <si>
    <t xml:space="preserve">Average DCR  for years 1-15 : </t>
  </si>
  <si>
    <t>Compliance Period Cash Flow:</t>
  </si>
  <si>
    <t>This test evaluates aggregate cash flow over a 15 year term.</t>
  </si>
  <si>
    <t>Safe Harbor Percentage Allowance</t>
  </si>
  <si>
    <t>Fee as % of total project cost</t>
  </si>
  <si>
    <t>OHFA Safe Harbor</t>
  </si>
  <si>
    <t>Dev. Fee as % of Eligible Basis</t>
  </si>
  <si>
    <t>HUD Safe Harbor Standard*</t>
  </si>
  <si>
    <t>Ceiling Standard**</t>
  </si>
  <si>
    <t>Standard 1</t>
  </si>
  <si>
    <t>Contractor General Conditions</t>
  </si>
  <si>
    <t>Standard 2</t>
  </si>
  <si>
    <t>Standard 3</t>
  </si>
  <si>
    <t>Contractor / Builder Profit</t>
  </si>
  <si>
    <t>Standard 4</t>
  </si>
  <si>
    <t>15%**</t>
  </si>
  <si>
    <t>** HUD's Safe Harbor Developer Fee is calculated based off total project cost</t>
  </si>
  <si>
    <t>* OHFA Safe Harbor Developer Fee is calculated based off project's total eligible basis</t>
  </si>
  <si>
    <t>30-year Pro Forma</t>
  </si>
  <si>
    <t xml:space="preserve"> 7. Permanent Financing Committed</t>
  </si>
  <si>
    <t xml:space="preserve"> 8. Construction Contract Executed</t>
  </si>
  <si>
    <t xml:space="preserve"> 9. Construction Loan Closing</t>
  </si>
  <si>
    <r>
      <t xml:space="preserve">MIP </t>
    </r>
    <r>
      <rPr>
        <b/>
        <sz val="8"/>
        <color theme="0"/>
        <rFont val="Arial"/>
        <family val="2"/>
        <scheme val="minor"/>
      </rPr>
      <t>(Mortgage Insurance Premiums)</t>
    </r>
  </si>
  <si>
    <t>The Multifamily Lending Program provides financing to assist developments receiving new allocations of housing tax credits, for both new construction/adaptive reuse and the rehabilitation of existing units, developments funded under previous housing tax credit programs and between years 10 and 20 of their compliance period, and unique developments that help to meet the goals of the Ohio Housing Finance Agency in serving the needs of low and moderate income households. All MLP amounts must be properly reflected on the Budget &amp; Costs tab.</t>
  </si>
  <si>
    <t>Add'l 5% Allowable as Deferred/Foregone</t>
  </si>
  <si>
    <t>Historic (perm.)</t>
  </si>
  <si>
    <t>Historic (const.)</t>
  </si>
  <si>
    <t># Elevator Buildings</t>
  </si>
  <si>
    <t>HUD Sec. 236 w/ decoupling of IRP</t>
  </si>
  <si>
    <t xml:space="preserve">Section 8 HAP or equivalent </t>
  </si>
  <si>
    <t>Other, describe</t>
  </si>
  <si>
    <t>Subsidy source</t>
  </si>
  <si>
    <t>Square Feet</t>
  </si>
  <si>
    <t>Management Co.</t>
  </si>
  <si>
    <t xml:space="preserve">• Documents must be labeled using the following naming convention: "[Document#] [Document Name]". </t>
  </si>
  <si>
    <t>• Documents submitted in Adobe PDF format should be bookmarked; PDF "Portfolio" (which assembles multiple PDF documents into one file without merging them) should not be used.</t>
  </si>
  <si>
    <t>• Unless specifically required by the QAP, supporting documentation may not exceed 25 pages per competitive section (not per competitive point category).</t>
  </si>
  <si>
    <t>• Categories with multiple documents may be submitted in a folder that is named using the convention.</t>
  </si>
  <si>
    <t xml:space="preserve">• All documents must be highlighted and annotated directing staff to relevant portions.  </t>
  </si>
  <si>
    <t>• The only original signature documents OHFA requires are documents that will be recorded, promissory notes, and HDAP funding agreements; none of these documents are due with the AHFA.</t>
  </si>
  <si>
    <t xml:space="preserve">• This application requires Excel 2013 or newer. 
</t>
  </si>
  <si>
    <t xml:space="preserve">• Information written in the margins or the "Unlocked" tabs may not be seen by underwriters. </t>
  </si>
  <si>
    <t xml:space="preserve">• The document is best viewed at 85% zoom; YOU MAY NEED TO SCROLL RIGHT to enter all information.  </t>
  </si>
  <si>
    <t>• While you may complete the tabs in any order you see fit, the workbook is optimized for usability when the tabs are completed in the order displayed.</t>
  </si>
  <si>
    <t>USDA assistance</t>
  </si>
  <si>
    <t xml:space="preserve">Are you offering Supportive Services for Population? </t>
  </si>
  <si>
    <t>Total SF</t>
  </si>
  <si>
    <t>Dedicated Program Space</t>
  </si>
  <si>
    <t>Average Net Rentable SF per LI Unit</t>
  </si>
  <si>
    <t>Non-Low-Income Floor Area</t>
  </si>
  <si>
    <t>Common Area (Public) + Common Area (Circulation) / Gross Square Footage</t>
  </si>
  <si>
    <t>LI unit area + Common Area (Circulation) + Limited Common Area (Private) + Tenant Storage</t>
  </si>
  <si>
    <t>Commercial Space Condo Areas + Commercial Areas + Market Rate Unit Area</t>
  </si>
  <si>
    <t xml:space="preserve">Has Owner/GP placed in service at least one historic project? </t>
  </si>
  <si>
    <t xml:space="preserve">Labor and material related to the installation of fireplaces, safety and life safety inspections, LEED, HERS or green-related costs not covered elsewhere. </t>
  </si>
  <si>
    <t>Completely Owner Paid Utilities</t>
  </si>
  <si>
    <t>Cash flow Loan?</t>
  </si>
  <si>
    <t xml:space="preserve">Labor and material related to sheet or panel waterproofing; bituminous or cementitious damp proofing; building paper; foundation drain tile; sealants and caulking; and any other type of waterproofing or damp proofing. </t>
  </si>
  <si>
    <t xml:space="preserve">Accessibility Requirement Satisfied? </t>
  </si>
  <si>
    <r>
      <rPr>
        <b/>
        <sz val="11"/>
        <color theme="1"/>
        <rFont val="Arial"/>
        <family val="2"/>
        <scheme val="minor"/>
      </rPr>
      <t xml:space="preserve">Using "Values Paste": </t>
    </r>
    <r>
      <rPr>
        <sz val="11"/>
        <color theme="1"/>
        <rFont val="Arial"/>
        <family val="2"/>
        <scheme val="minor"/>
      </rPr>
      <t>Values pastes the end result, but does not transfer over formulas or formatting. This prevents users from inadvertently interfering with important restrictions that already exists in a cell.  When pasting, right-click and select the option with a clipboard and the graphic showing numbers 123.</t>
    </r>
  </si>
  <si>
    <t>Boost for ModOpportunity+Change</t>
  </si>
  <si>
    <t>total floor space of the residential rental units in the project</t>
  </si>
  <si>
    <t>total floor space of the low-income units in the project</t>
  </si>
  <si>
    <t>Income limits</t>
  </si>
  <si>
    <t>Project Mgr (PM) First</t>
  </si>
  <si>
    <t>synd contact</t>
  </si>
  <si>
    <t>synd phone</t>
  </si>
  <si>
    <t>synd email</t>
  </si>
  <si>
    <t>ManagingPartner/General Partner</t>
  </si>
  <si>
    <t>Majority GP/Managing Partner</t>
  </si>
  <si>
    <t>HDAP Recipient- Address</t>
  </si>
  <si>
    <t>HDAP Recipient- City</t>
  </si>
  <si>
    <t>HDAP Recipient- Zip</t>
  </si>
  <si>
    <t>HDAP Recipient- State</t>
  </si>
  <si>
    <t>HDAP request</t>
  </si>
  <si>
    <t>MLP request</t>
  </si>
  <si>
    <t>HDL request</t>
  </si>
  <si>
    <t>Section 8/HAP?</t>
  </si>
  <si>
    <t>Funding requests</t>
  </si>
  <si>
    <t>Zip</t>
  </si>
  <si>
    <t>Urban?</t>
  </si>
  <si>
    <t>Current Project Number</t>
  </si>
  <si>
    <t>Qualified</t>
  </si>
  <si>
    <t>Applicable Wage</t>
  </si>
  <si>
    <t>Unit Info- 1 Bedroom</t>
  </si>
  <si>
    <t>Unit Info- 2 Bedroom</t>
  </si>
  <si>
    <t>Unit Info- 3 Bedroom</t>
  </si>
  <si>
    <t>Program Units</t>
  </si>
  <si>
    <t>Unit Info- AMI Levels- 20%</t>
  </si>
  <si>
    <t>Unit Info- AMI Levels- 30%</t>
  </si>
  <si>
    <t>Unit Info- AMI Levels- 40%</t>
  </si>
  <si>
    <t>Unit Info- AMI Levels- 50%</t>
  </si>
  <si>
    <t>Unit Info- AMI Levels- 60%</t>
  </si>
  <si>
    <t>Unit Info- AMI Levels- 70%</t>
  </si>
  <si>
    <t>Unit Info- AMI Levels- 80%</t>
  </si>
  <si>
    <t>LIHTC- Employee Units</t>
  </si>
  <si>
    <t>Owner- Organization Name</t>
  </si>
  <si>
    <t>Management Company- Organization Name</t>
  </si>
  <si>
    <t>General Contractor- Organization Name</t>
  </si>
  <si>
    <t>Development Consultant- Organization Name</t>
  </si>
  <si>
    <t>Developer- Organization Name</t>
  </si>
  <si>
    <t>Recipient- Organization Name</t>
  </si>
  <si>
    <t>Syndicator- Organization Name</t>
  </si>
  <si>
    <t>General Partner- Organization Name</t>
  </si>
  <si>
    <t>Buildings- Applicable Fraction</t>
  </si>
  <si>
    <t>LIHTC- Fed. Minimum Set-Aside</t>
  </si>
  <si>
    <t>Buildings- Completely Owner Paid Utilities</t>
  </si>
  <si>
    <t>Buildings- Date Built</t>
  </si>
  <si>
    <t>Set-Aside- Non-Profit Set Aside</t>
  </si>
  <si>
    <t>Set-Aside- CHDO Set Aside</t>
  </si>
  <si>
    <t xml:space="preserve">Supportive Service Coordinator </t>
  </si>
  <si>
    <t>Syndicator/Investor Information</t>
  </si>
  <si>
    <t>Other Partners</t>
  </si>
  <si>
    <t xml:space="preserve">Management Company </t>
  </si>
  <si>
    <t>Nonprofit Entities (if any)</t>
  </si>
  <si>
    <t xml:space="preserve">General Contractor </t>
  </si>
  <si>
    <t xml:space="preserve">Co-Developer </t>
  </si>
  <si>
    <r>
      <t xml:space="preserve">HDAP Recipient </t>
    </r>
    <r>
      <rPr>
        <b/>
        <i/>
        <sz val="12"/>
        <color theme="5"/>
        <rFont val="Century Gothic"/>
        <family val="2"/>
      </rPr>
      <t>(leave blank if not applicable)</t>
    </r>
  </si>
  <si>
    <t xml:space="preserve">An executed OHFA Program Certification must be submitted signed by each general partner participating in the project. An original signature is not required, electronic signatures and signature images will be accepted. Do not edit or alter this text; the page is unlocked ONLY to permit uploading signature image.
The undersigned, having full power and authority to execute, deliver, perform, enter into and carry out the performance of this application, hereby represents and certifies under penalty of perjury that: (1) To the best of his/her knowledge, all information contained within, attached to, and submitted with this application is true and complete, and accurately describes the proposed project; and (2) Any additional information requested by the Ohio Housing Finance Agency will be supplied by the undersigned in order for this application to remain valid.
The undersigned affirmatively covenants that it does not owe (1) any delinquent taxes to the State of Ohio ("the State") or apolitical subdivision of the State; (2) any moneys to the State or a state agency for the administration or enforcement of any environmental laws of the State; and (3) any other moneys to the State, a state agency or a political subdivision of the State that are past due, whether the amounts owed are being contested in a court of law or not.
The undersigned agrees that the Ohio Housing Finance Agency (including its agencies) will at all times be indemnified and held harmless against all losses, costs, damages, expenses, and liabilities whatsoever nature or kind (including, but not limited to attorney's fees, litigation, and court costs, amounts paid in settlement, and amounts paid to discharge judgment, and any loss from judgment from the Internal Revenue Service) directly or indirectly resulting from, arising out of, or related to acceptance, consideration, and approval or disapproval of such allocation and/or funding request.
The undersigned acknowledges that any document submitted to the Ohio Housing Finance Agency is considered a public record and will be released in accordance with ORC Sections 149.43 and 175.12(B).
It is the responsibility of the undersigned and any of its employees, agents or sub-contractors in doing business with the Ohio Housing Finance Agency to adhere to and comply with all Federal Civil Rights legislation inclusive of the Fair Housing Laws, Section 504 of the Rehabilitation Act of 1973, the Americans With Disabilities Act as well as any state and local Civil Rights legislation along with any required related codes and laws.  Should the Ohio Housing Finance Agency not specify any requirements, such as design, it is none the less the owners responsibility to be aware of and comply with all non-discrimination provisions relating to race, color, religion, sex, sexual orientation, gender identity or expression, handicap, familial status, and national origin.  This includes design requirements for construction or rehabilitation, Equal Opportunity in regard to marketing and tenant selection and reasonable accommodation and modification for those tenants covered under the Laws.
</t>
  </si>
  <si>
    <t>Sources as % of TPC</t>
  </si>
  <si>
    <t xml:space="preserve">
</t>
  </si>
  <si>
    <t>At proposal application, the applicant must identify the management company in the AHFA. The applicant must complete the Management Company Capacity Review tab in the AHFA at final application.</t>
  </si>
  <si>
    <t>List the number of tax credit properties and units that the management company currently manages.</t>
  </si>
  <si>
    <t>Property Name</t>
  </si>
  <si>
    <t>Address, City, State</t>
  </si>
  <si>
    <t>Property Mgmt Contact</t>
  </si>
  <si>
    <t>Contact Phone</t>
  </si>
  <si>
    <t>Contact Email</t>
  </si>
  <si>
    <t>Year Management Assumed</t>
  </si>
  <si>
    <t>Section I: Experience and Performance</t>
  </si>
  <si>
    <t>Out of state - total # properties</t>
  </si>
  <si>
    <t>Out of state - total # units</t>
  </si>
  <si>
    <t>In state - total # units</t>
  </si>
  <si>
    <t>In state - total # properties</t>
  </si>
  <si>
    <t xml:space="preserve">Has the management company or any of its personnel ever been involved in governmental or judicial action concerning a violation of Fair Housing Laws?                       </t>
  </si>
  <si>
    <t xml:space="preserve">Does the management company have any outstanding uncorrected 8823s?      </t>
  </si>
  <si>
    <t xml:space="preserve">Which of the following certifications does the management company require managers to obtain and maintain through continuing education? (Check all that apply)    </t>
  </si>
  <si>
    <t>Section II: Operations and Structure</t>
  </si>
  <si>
    <r>
      <rPr>
        <i/>
        <sz val="11"/>
        <color theme="1"/>
        <rFont val="Arial"/>
        <family val="2"/>
        <scheme val="minor"/>
      </rPr>
      <t xml:space="preserve">I hereby certify that the information above and any attached explanation(s) is/are true and correct. I understand that any misrepresentation, false information or omission may result in disqualification of the application and any other involving the same owner(s), principal(s), consultant(s) and/or application preparer(s). </t>
    </r>
    <r>
      <rPr>
        <sz val="11"/>
        <color theme="1"/>
        <rFont val="Arial"/>
        <family val="2"/>
        <scheme val="minor"/>
      </rPr>
      <t xml:space="preserve">
_______________________________                         ___________________________________   
Signature                                                                                Date
_______________________________                         ___________________________________   
Printed Name                                                                        Title
</t>
    </r>
  </si>
  <si>
    <t>Does the management company meet this requirement?</t>
  </si>
  <si>
    <t>This page auto-populates, but will permit you to add a photo or rendering. On the Insert tab, select 'Pictures' to insert an image.</t>
  </si>
  <si>
    <t>Corrections</t>
  </si>
  <si>
    <t>DATE</t>
  </si>
  <si>
    <t>DESCRIPTION</t>
  </si>
  <si>
    <t>Labor and material and all pertinent costs related to installation of water, sewer, storm, electric, gas, telephone, cable, etc. Includes site staking/engineering for each, excavation of each, standby inspection fees for each, utility provider charges for each, removal of abandoned or relocated utility lines, and any other cost related to the installation of site utilities.</t>
  </si>
  <si>
    <t>Includes labor and material related to the installation of all concrete and asphalt, including all areas outside the building including, but not limited to, roads, streets, alleys, parking areas, side walks, stoops, porches, and any other site hard surface. This includes the labor and material for the preparation work, the base, the actual hard surface, and related field staking and concrete testing.</t>
  </si>
  <si>
    <t>Labor and material related to the installation of equipment for playground and other special areas; fences; handrails; permanent exterior signs; dumpsters; trash enclosures; mailboxes; flagpoles; gazebos; and non-framing canopies; swimming pools and all pool accessories, and any other site amenity.</t>
  </si>
  <si>
    <t>Labor and material related to final grading of top soil, the planting of trees; tree walls; flowers; flower beds; shrubs; grass and other ground covers; irrigation systems; edging, sprinkler systems, and any other work related to the exterior finish product.</t>
  </si>
  <si>
    <t>Labor and material related to interior and exterior trim and millwork; shelving; counter tops; prefinished paneling; exterior shutters; custom casework; ornamental items; wood window sills; handrails; interior doors, hardware, wire shelving; and any other item to finish the interior of the units not noted herein. Includes temporary hourly labor, final cleaning, punch list labor.</t>
  </si>
  <si>
    <t>Labor and material related to the installation of vinyl, aluminum, wood, or concrete/cement siding; soffit, fascia, shutters, columns, handrails, gable vents; fasteners and adhesives. All items related to the exterior finish of the buildings not included elsewhere herein.</t>
  </si>
  <si>
    <t>Labor and material related to the installation of warm air heating systems, including boilers, furnaces and ducts; electric resistance heating systems; heat pumps systems; kitchen, bath, and laundry ventilation systems; duct insulation; individual room air conditioning units; stack- on air conditioning units; compressors and racks which hold compressors; and any other items related to the heating, ventilation and air conditioning therein.</t>
  </si>
  <si>
    <t>Labor and material related to the installation of service equipment; raceways; conductors; wiring devices; lighting; fire and smoke alarm systems; communications systems; telephone service; television systems, including signal reception devices; all finish electrical components; and any other item related therein.</t>
  </si>
  <si>
    <t>Includes project management, superintendent, temporary construction sign, field office expense, storage trailers, portable restrooms, temporary utilities, dumpsters, etc. Cannot exceed 6% of CONSTRUCTION COSTS.</t>
  </si>
  <si>
    <t xml:space="preserve">Cannot exceed 2% OF CONSTRUCTION COSTS. </t>
  </si>
  <si>
    <t>Cannot exceed 6% OF CONSTRUCTION COSTS.</t>
  </si>
  <si>
    <t>Affordability Type</t>
  </si>
  <si>
    <t>Lease-Purchase?</t>
  </si>
  <si>
    <t>Scattered Site?</t>
  </si>
  <si>
    <t>Single Family or Multifamily?</t>
  </si>
  <si>
    <t>Section 3 Required?</t>
  </si>
  <si>
    <t>Program/Round</t>
  </si>
  <si>
    <t>Overall Project Summary Information</t>
  </si>
  <si>
    <t>Subsidy Overview (select N/A if not subsidized)</t>
  </si>
  <si>
    <t>Adaptive Reuse</t>
  </si>
  <si>
    <t>Total Number</t>
  </si>
  <si>
    <t>All Units</t>
  </si>
  <si>
    <t>% of total</t>
  </si>
  <si>
    <t>% of affordable</t>
  </si>
  <si>
    <t>3+ BD</t>
  </si>
  <si>
    <t>Aff 3+ BD</t>
  </si>
  <si>
    <t>Aff 1 BD</t>
  </si>
  <si>
    <t>1 BD</t>
  </si>
  <si>
    <t>2 BD</t>
  </si>
  <si>
    <t>Aff 2 BD</t>
  </si>
  <si>
    <t>30% AMI</t>
  </si>
  <si>
    <t>40% AMI</t>
  </si>
  <si>
    <t>50% AMI</t>
  </si>
  <si>
    <t>60% AMI</t>
  </si>
  <si>
    <t>70% AMI</t>
  </si>
  <si>
    <t>80% AMI</t>
  </si>
  <si>
    <t>20% AMI</t>
  </si>
  <si>
    <t>Min Set Aside</t>
  </si>
  <si>
    <t>Population Served (majority of units)</t>
  </si>
  <si>
    <t>Affordability Type (majority of units)</t>
  </si>
  <si>
    <t xml:space="preserve">Is the subsidy existing or anticipated? </t>
  </si>
  <si>
    <t xml:space="preserve">If existing how many years remaining on subsidy contract? </t>
  </si>
  <si>
    <t>Is the development utilizing existing subsidy in a newly constructed building(s)? (Ex: HOPE VI, Choice Neighborhoods, or ported Sec. 8)</t>
  </si>
  <si>
    <t>Type of Subsidy (existing or anticipated):</t>
  </si>
  <si>
    <t>Site &amp; Building Summary Information</t>
  </si>
  <si>
    <t>Floor Area Details</t>
  </si>
  <si>
    <t>Goal (date)</t>
  </si>
  <si>
    <t>Actual (date)</t>
  </si>
  <si>
    <t>Historic Tax Credit Considerations</t>
  </si>
  <si>
    <t>Cost / Unit</t>
  </si>
  <si>
    <t>Permanent Financing Sources &amp; Uses</t>
  </si>
  <si>
    <t>Financial Income</t>
  </si>
  <si>
    <t>Service Income</t>
  </si>
  <si>
    <t>(Replacement Reserves)</t>
  </si>
  <si>
    <t>Projects must comply with the current Housing Development Loan Program guidelines. The following items must be submitted with the Final Application: 
1. Collateral in a form and value adequate to secure the amount of the principal and interest accrued during the life of the loan term; 
2. Narrative that describes when the funds will be needed and how repayment will be handled; and
3. A check for the HDL application fee in the amount of $600.</t>
  </si>
  <si>
    <t>HDL, HDAP, &amp; MLP Financing Application</t>
  </si>
  <si>
    <t>Describe Enhancement.</t>
  </si>
  <si>
    <t>Subsidy</t>
  </si>
  <si>
    <t xml:space="preserve">Enter the date they purchased the property. </t>
  </si>
  <si>
    <t xml:space="preserve">Is the owner a LLC or LP? </t>
  </si>
  <si>
    <t xml:space="preserve">If yes, state the names of all principals. </t>
  </si>
  <si>
    <t xml:space="preserve">If different from the applicant, describe the current property owner(s) below. </t>
  </si>
  <si>
    <t>Collateral</t>
  </si>
  <si>
    <t>Acquisition and Substantial Rehabilitation</t>
  </si>
  <si>
    <t>Substantial Rehabilitation</t>
  </si>
  <si>
    <t xml:space="preserve">AHFA </t>
  </si>
  <si>
    <t>HOW TO SUBMIT THE APPLICATION:</t>
  </si>
  <si>
    <t>HOW TO NAME AND ORGANIZATION THE APPLICATION SUBMISSION:</t>
  </si>
  <si>
    <t xml:space="preserve">• Error messages may appear and must be resolved by the applicant prior to submission. </t>
  </si>
  <si>
    <t xml:space="preserve">• A narrative section is provided to describe your project in detail; because this is made available, responses to point categories must be concise. </t>
  </si>
  <si>
    <t>• A blank, unlocked sheet is provided at the end of this workbook for applicant convenience. This blank sheet is for work product only and may not be reviewed by the underwriting analyst.</t>
  </si>
  <si>
    <t xml:space="preserve">Provide an answer for all sections, do not skip or leave blank any question. Use the "Not Applicable" (N/A) option if a question does not apply to your project. 
Use the following color-code to determine your response type: </t>
  </si>
  <si>
    <t xml:space="preserve">• Many sections of this workbook auto populate. You must follow all directions listed herein to ensure formulas operate correctly. Do not attempt to jailbreak this workbook or override formulas. OHFA will reset all formulas upon receipt and jailbroken responses will be lost. Copying and pasting from prior AHFAs is strongly discouraged as it can affect formulas; if attempting to paste information, use the "values paste" option (see sidebar) to ensure formatting is maintained. </t>
  </si>
  <si>
    <r>
      <t xml:space="preserve">• Make sure you are using the </t>
    </r>
    <r>
      <rPr>
        <b/>
        <sz val="11"/>
        <color theme="1"/>
        <rFont val="Arial"/>
        <family val="2"/>
        <scheme val="minor"/>
      </rPr>
      <t>most current AHFA</t>
    </r>
    <r>
      <rPr>
        <sz val="11"/>
        <color theme="1"/>
        <rFont val="Arial"/>
        <family val="2"/>
        <scheme val="minor"/>
      </rPr>
      <t xml:space="preserve"> from the Guidelines, Applications, and Forms page. 
</t>
    </r>
  </si>
  <si>
    <t>Helpful Links</t>
  </si>
  <si>
    <t>Pool Set Aside</t>
  </si>
  <si>
    <t>Proposal or Final Application?</t>
  </si>
  <si>
    <t>HTC Request: NC</t>
  </si>
  <si>
    <t>HTC Request: Rehab</t>
  </si>
  <si>
    <t>HTC Request:: Acq/Rehab</t>
  </si>
  <si>
    <t>Total Market units</t>
  </si>
  <si>
    <t>Total units with subsidy</t>
  </si>
  <si>
    <t>20% Units- Income</t>
  </si>
  <si>
    <t>30% Units- Income</t>
  </si>
  <si>
    <t>40% Units- Income</t>
  </si>
  <si>
    <t>50% Units- Income</t>
  </si>
  <si>
    <t>60% Units- Income</t>
  </si>
  <si>
    <t>70% Units- Income</t>
  </si>
  <si>
    <t>80% Units- Income</t>
  </si>
  <si>
    <t>At or below 80%- Rent</t>
  </si>
  <si>
    <t>At or below 70%- Rent</t>
  </si>
  <si>
    <t>At or below 60%- Rent</t>
  </si>
  <si>
    <t>At or below 50%- Rent</t>
  </si>
  <si>
    <t>At or below 40%- Rent</t>
  </si>
  <si>
    <t>At or below 30%- Rent</t>
  </si>
  <si>
    <t>At or below 20%- Rent</t>
  </si>
  <si>
    <t>Unit Info- Rent Levels- 20%</t>
  </si>
  <si>
    <t>Unit Info- Rent Levels- 30%</t>
  </si>
  <si>
    <t>Unit Info- Rent Levels- 40%</t>
  </si>
  <si>
    <t>Unit Info- Rent Levels- 50%</t>
  </si>
  <si>
    <t>Unit Info- Rent Levels- 60%</t>
  </si>
  <si>
    <t>Unit Info- Rent Levels- 70%</t>
  </si>
  <si>
    <t>Unit Info- Rent Levels- 80%</t>
  </si>
  <si>
    <t>Rent limits</t>
  </si>
  <si>
    <t>Operating Budget: Effective Gross Income</t>
  </si>
  <si>
    <t>Operating Budget: EGI/unit</t>
  </si>
  <si>
    <t>Net Operating Income/unit</t>
  </si>
  <si>
    <t>Operating Budget</t>
  </si>
  <si>
    <t>TDC/LI unit</t>
  </si>
  <si>
    <t>Net Equity Factor</t>
  </si>
  <si>
    <t>Minimum Set-Aside</t>
  </si>
  <si>
    <t>HTCeligible-Acquisition</t>
  </si>
  <si>
    <t>HTCeligible-Rehab</t>
  </si>
  <si>
    <t>HTCeligible-NC</t>
  </si>
  <si>
    <t>MF Bond request</t>
  </si>
  <si>
    <t>PrevAwardYr-HDAP</t>
  </si>
  <si>
    <t>PrevAppliedYr-HTC</t>
  </si>
  <si>
    <t>PrevAllocationYr-HTC</t>
  </si>
  <si>
    <t xml:space="preserve">Any currently outstanding OHFA payments (HDAP repayments, HDL, MLP, etc.)? </t>
  </si>
  <si>
    <t xml:space="preserve"> Any outstanding 8823s?</t>
  </si>
  <si>
    <r>
      <rPr>
        <b/>
        <sz val="11"/>
        <color theme="1"/>
        <rFont val="Arial"/>
        <family val="2"/>
        <scheme val="minor"/>
      </rPr>
      <t xml:space="preserve">1. Ownership entity and interest: </t>
    </r>
    <r>
      <rPr>
        <sz val="11"/>
        <color theme="1"/>
        <rFont val="Arial"/>
        <family val="2"/>
        <scheme val="minor"/>
      </rPr>
      <t>Indicate the type of ownership entity, the split of ownership interest between the partners, and how this will be determined. Also, how change or sale of ownership interest occurs:  how partners acquire interest from other partners, rights of 1st refusal by other partners, and succession in event of death/demise of partner.</t>
    </r>
  </si>
  <si>
    <r>
      <rPr>
        <b/>
        <sz val="11"/>
        <color theme="1"/>
        <rFont val="Arial"/>
        <family val="2"/>
        <scheme val="minor"/>
      </rPr>
      <t>2. Decision-making:</t>
    </r>
    <r>
      <rPr>
        <sz val="11"/>
        <color theme="1"/>
        <rFont val="Arial"/>
        <family val="2"/>
        <scheme val="minor"/>
      </rPr>
      <t xml:space="preserve"> Indicate how the partners will make decisions (voting, consensus, etc.)  Voting rights are usually based on ownership interest, but some key decisions that must be made jointly or by consensus, such as incurring debt or financial obligations and significant changes in project scope. Also, what decisions individual partners can make in fulfilling developer obligations.</t>
    </r>
  </si>
  <si>
    <r>
      <rPr>
        <b/>
        <sz val="11"/>
        <color theme="1"/>
        <rFont val="Arial"/>
        <family val="2"/>
        <scheme val="minor"/>
      </rPr>
      <t>3. Division of responsibilities:</t>
    </r>
    <r>
      <rPr>
        <sz val="11"/>
        <color theme="1"/>
        <rFont val="Arial"/>
        <family val="2"/>
        <scheme val="minor"/>
      </rPr>
      <t xml:space="preserve"> Indicate how the responsibilities of the development will be split among the partners: management of the joint venture, acquisition, financing, design, local approvals, construction, marketing and occupancy. What rights to complete exist if a partner fails to fulfill its responsibilities.</t>
    </r>
  </si>
  <si>
    <r>
      <rPr>
        <b/>
        <sz val="11"/>
        <color theme="1"/>
        <rFont val="Arial"/>
        <family val="2"/>
        <scheme val="minor"/>
      </rPr>
      <t>4. Split of developer fees:</t>
    </r>
    <r>
      <rPr>
        <sz val="11"/>
        <color theme="1"/>
        <rFont val="Arial"/>
        <family val="2"/>
        <scheme val="minor"/>
      </rPr>
      <t xml:space="preserve"> Indicate how the developer fees will be split among the partners. Provide a schedule of values with payment amounts below for each responsibility.</t>
    </r>
  </si>
  <si>
    <r>
      <rPr>
        <b/>
        <sz val="11"/>
        <color theme="1"/>
        <rFont val="Arial"/>
        <family val="2"/>
        <scheme val="minor"/>
      </rPr>
      <t>5. Guarantees:</t>
    </r>
    <r>
      <rPr>
        <sz val="11"/>
        <color theme="1"/>
        <rFont val="Arial"/>
        <family val="2"/>
        <scheme val="minor"/>
      </rPr>
      <t xml:space="preserve"> Indicate which partners are responsible for guarantees to lenders and limited partners, and the compensation associated with those guarantees.</t>
    </r>
  </si>
  <si>
    <r>
      <rPr>
        <b/>
        <sz val="11"/>
        <color theme="1"/>
        <rFont val="Arial"/>
        <family val="2"/>
        <scheme val="minor"/>
      </rPr>
      <t>6. Dispute resolution:</t>
    </r>
    <r>
      <rPr>
        <sz val="11"/>
        <color theme="1"/>
        <rFont val="Arial"/>
        <family val="2"/>
        <scheme val="minor"/>
      </rPr>
      <t xml:space="preserve"> Indicate how the parties will resolve situations when there is disagreement (mediation, arbitration, etc.)</t>
    </r>
  </si>
  <si>
    <r>
      <rPr>
        <b/>
        <sz val="11"/>
        <color theme="1"/>
        <rFont val="Arial"/>
        <family val="2"/>
        <scheme val="minor"/>
      </rPr>
      <t>7. Termination:</t>
    </r>
    <r>
      <rPr>
        <sz val="11"/>
        <color theme="1"/>
        <rFont val="Arial"/>
        <family val="2"/>
        <scheme val="minor"/>
      </rPr>
      <t xml:space="preserve"> Indicate how the partnership can be terminated, either before the project is completed or after all work has been completed.   If a “handoff” from one partner to another is contemplated  on completion, how that will occur.</t>
    </r>
  </si>
  <si>
    <t>#3+br</t>
  </si>
  <si>
    <t>#1br- affordable</t>
  </si>
  <si>
    <t>#2br- affordable</t>
  </si>
  <si>
    <t>#3+br- affordable</t>
  </si>
  <si>
    <t>Supp Service Coord</t>
  </si>
  <si>
    <t>HDAP FTI#</t>
  </si>
  <si>
    <t>HDAP AuthSign</t>
  </si>
  <si>
    <t>HDAP AuthSign Title</t>
  </si>
  <si>
    <t>HUD 202/811</t>
  </si>
  <si>
    <t>HUD 236</t>
  </si>
  <si>
    <t>Total Points-UrbanOpp</t>
  </si>
  <si>
    <t>Total Points-GenOcc</t>
  </si>
  <si>
    <t>Total Points-SeniorUrb</t>
  </si>
  <si>
    <t>Total Points-NonUrban</t>
  </si>
  <si>
    <t>Total Points-HUDPres</t>
  </si>
  <si>
    <t>Total Points-USDAPres</t>
  </si>
  <si>
    <t>Total Points-PSH</t>
  </si>
  <si>
    <t>Total Points-SubAbuse</t>
  </si>
  <si>
    <t>Total Points-SingleFam</t>
  </si>
  <si>
    <t>Basis Boost</t>
  </si>
  <si>
    <t>Oper/Maint TOTAL</t>
  </si>
  <si>
    <t>Tax/Ins TOTAL</t>
  </si>
  <si>
    <t>Total Annual Expenses</t>
  </si>
  <si>
    <t>Total Annual Expenses/unit</t>
  </si>
  <si>
    <t>Basic/locational</t>
  </si>
  <si>
    <t>Building info</t>
  </si>
  <si>
    <t>Rental/Operating Subsidy</t>
  </si>
  <si>
    <t>Population set-asides</t>
  </si>
  <si>
    <t>Wage rates</t>
  </si>
  <si>
    <t>Scoring</t>
  </si>
  <si>
    <t>Unit info</t>
  </si>
  <si>
    <t>Building/unit summary info</t>
  </si>
  <si>
    <t>Total sites, construction type</t>
  </si>
  <si>
    <t>Percent of total</t>
  </si>
  <si>
    <t xml:space="preserve">• For security purposes, OHFA will not accept submissions via an outside file transfer protocol, Google Drive, DropBox, etc.. </t>
  </si>
  <si>
    <r>
      <t xml:space="preserve">Mgr Unit </t>
    </r>
    <r>
      <rPr>
        <i/>
        <sz val="11"/>
        <color theme="1"/>
        <rFont val="Arial"/>
        <family val="2"/>
        <scheme val="minor"/>
      </rPr>
      <t>(common space)</t>
    </r>
  </si>
  <si>
    <t>20% AMGI</t>
  </si>
  <si>
    <t>40% AMGI</t>
  </si>
  <si>
    <t>70% AMGI</t>
  </si>
  <si>
    <t>80% AMGI</t>
  </si>
  <si>
    <t xml:space="preserve">Full-time employee units only per IRS Revenue Ruling 92-61 (common space). </t>
  </si>
  <si>
    <t>Aff 3+ BR &lt;= 60%</t>
  </si>
  <si>
    <t>% All Res Units Affordable to ELI</t>
  </si>
  <si>
    <t>only applicable if selecting Average Income</t>
  </si>
  <si>
    <t>Affordable to 20% AMI</t>
  </si>
  <si>
    <t>Affordable to 30% AMI</t>
  </si>
  <si>
    <t>Affordable to 40% AMI</t>
  </si>
  <si>
    <t>Affordable to 50% AMI</t>
  </si>
  <si>
    <t>Affordable to 60% AMI</t>
  </si>
  <si>
    <t>Affordable to 70% AMI</t>
  </si>
  <si>
    <t>Affordable to 80% AMI</t>
  </si>
  <si>
    <t>only applicable if using Average Income</t>
  </si>
  <si>
    <t>ERROR Exceeds Credits Allowable</t>
  </si>
  <si>
    <t>Note A Loan Schedule</t>
  </si>
  <si>
    <t>Risk-Share Annual Mortgage Insurance Premium</t>
  </si>
  <si>
    <t>Loan Amount</t>
  </si>
  <si>
    <t>Payment Amount</t>
  </si>
  <si>
    <t>Stated APR</t>
  </si>
  <si>
    <t>Payments Per Year</t>
  </si>
  <si>
    <t>Balloon Payment</t>
  </si>
  <si>
    <t>Total Interest Paid</t>
  </si>
  <si>
    <t>Amortization</t>
  </si>
  <si>
    <t>Closing Date</t>
  </si>
  <si>
    <t>First Payment Date</t>
  </si>
  <si>
    <t>Payment #</t>
  </si>
  <si>
    <t>Payment Date</t>
  </si>
  <si>
    <t>EOP Balance</t>
  </si>
  <si>
    <t>Principal</t>
  </si>
  <si>
    <t>Interest</t>
  </si>
  <si>
    <t>Payment</t>
  </si>
  <si>
    <t>Beginning</t>
  </si>
  <si>
    <t>MIP</t>
  </si>
  <si>
    <t>Note A</t>
  </si>
  <si>
    <t>Note B</t>
  </si>
  <si>
    <t>Year 1</t>
  </si>
  <si>
    <t>Year 2</t>
  </si>
  <si>
    <t>Year 3</t>
  </si>
  <si>
    <t>Year 4</t>
  </si>
  <si>
    <t>Year 5</t>
  </si>
  <si>
    <t>Year 6</t>
  </si>
  <si>
    <t>Year 7</t>
  </si>
  <si>
    <t>Year 8</t>
  </si>
  <si>
    <t>Year 9</t>
  </si>
  <si>
    <t>Year 10</t>
  </si>
  <si>
    <t>Year 11</t>
  </si>
  <si>
    <t>Year 12</t>
  </si>
  <si>
    <t>Year 13</t>
  </si>
  <si>
    <t>Year 14</t>
  </si>
  <si>
    <t>Year 15</t>
  </si>
  <si>
    <t>Year 16</t>
  </si>
  <si>
    <t>Year 17</t>
  </si>
  <si>
    <t>Geographic Area</t>
  </si>
  <si>
    <t>Rehabilitation Hard Costs</t>
  </si>
  <si>
    <t>MBE/WBE Ownership in GP</t>
  </si>
  <si>
    <t>PLEASE REFER TO PAGES 17-18 OF THE QAP FOR RENTAL SUBSIDY CONTRACT REQUIREMENTS FOR SUBMISSION.</t>
  </si>
  <si>
    <t>in the past?</t>
  </si>
  <si>
    <t>Has the project been rent/income restricted</t>
  </si>
  <si>
    <t>Any outstanding 8823s?</t>
  </si>
  <si>
    <t>See HDL Guidelines for Maximum Loan amount</t>
  </si>
  <si>
    <t>Set aside(s) for Qualified Populations/Homeless?</t>
  </si>
  <si>
    <t>Qualified Populations</t>
  </si>
  <si>
    <t xml:space="preserve">Population Served </t>
  </si>
  <si>
    <t>Enter any other underwriting notes in the section below.</t>
  </si>
  <si>
    <t>2022-2023 Qualified Allocation Plan with 2023 Technical Amendments</t>
  </si>
  <si>
    <t>2023 Multifamily Underwriting Guidelines</t>
  </si>
  <si>
    <t>2023 Design &amp; Architectural Standards</t>
  </si>
  <si>
    <t>LIHTC Equity</t>
  </si>
  <si>
    <t>New Issue</t>
  </si>
  <si>
    <t>Private Activity Volume Cap</t>
  </si>
  <si>
    <t>Tax Exempt Bond Issuing Entity</t>
  </si>
  <si>
    <t>Annual LIHTC</t>
  </si>
  <si>
    <t>Equity Price</t>
  </si>
  <si>
    <t>Total 10-Year LIHTC</t>
  </si>
  <si>
    <t>LIHTC Units</t>
  </si>
  <si>
    <t>Annual LIHTC Calculation</t>
  </si>
  <si>
    <t>LIHTCs</t>
  </si>
  <si>
    <t>Annual LIHTC Amount</t>
  </si>
  <si>
    <t>Previous LIHTC Deduction</t>
  </si>
  <si>
    <t>Other Required LIHTC Reductions</t>
  </si>
  <si>
    <t>Total LIHTCs Eligible</t>
  </si>
  <si>
    <t xml:space="preserve">Total LIHTCs Eligible </t>
  </si>
  <si>
    <t xml:space="preserve">Total LIHTCs Requested </t>
  </si>
  <si>
    <t>Ten Year LIHTC Request</t>
  </si>
  <si>
    <t>LIHTC Equity Proceeds Calculation</t>
  </si>
  <si>
    <t>Gross LIHTC Equity</t>
  </si>
  <si>
    <t>Net LIHTC Equity</t>
  </si>
  <si>
    <t>LIHTC Net Equity Factor</t>
  </si>
  <si>
    <t>LIHTC Rent Elections &amp; Income Targeting</t>
  </si>
  <si>
    <t xml:space="preserve">LIHTC Units affordable to households at or below 30% AMI </t>
  </si>
  <si>
    <t xml:space="preserve">LIHTC Units affordable to households at or below 50% AMI </t>
  </si>
  <si>
    <t xml:space="preserve">LIHTC Units affordable to households at or below 60% AMI </t>
  </si>
  <si>
    <t xml:space="preserve">LIHTC Units affordable to households at or below 80% AMI </t>
  </si>
  <si>
    <t>LIHTC Units occupied by households with incomes at or below 30% AMI</t>
  </si>
  <si>
    <t>LIHTC Units occupied by households with incomes at or below 50% AMI</t>
  </si>
  <si>
    <t>LIHTC Units occupied by households with incomes at or below 60% AMI</t>
  </si>
  <si>
    <t>LIHTC Units occupied by households with incomes at or below 80% AMI</t>
  </si>
  <si>
    <t>LIHTCs Allowable</t>
  </si>
  <si>
    <t>LIHTCs Requested</t>
  </si>
  <si>
    <t>LIHTC Amount</t>
  </si>
  <si>
    <t>Adjusted LIHTC Amount</t>
  </si>
  <si>
    <t>Total LIHTC Amount</t>
  </si>
  <si>
    <t>Ten-Year LIHTC Amount</t>
  </si>
  <si>
    <t>Exempt to foster LIHTC?</t>
  </si>
  <si>
    <t># Years Developing LIHTC</t>
  </si>
  <si>
    <t>Experience &amp; Capacity</t>
  </si>
  <si>
    <t>Describe changes to the development team that occurred since the last LIHTC application round, if applicable.</t>
  </si>
  <si>
    <t xml:space="preserve">If you have non-LIHTC square footage, including commercial or market-rate spaces, please provide a short (1,000 character or less) description of the proposed space below.  </t>
  </si>
  <si>
    <t>Also seeking LIHTC?</t>
  </si>
  <si>
    <r>
      <rPr>
        <b/>
        <sz val="11"/>
        <color theme="1"/>
        <rFont val="Arial"/>
        <family val="2"/>
        <scheme val="minor"/>
      </rPr>
      <t>Minimum Requirements:</t>
    </r>
    <r>
      <rPr>
        <sz val="11"/>
        <color theme="1"/>
        <rFont val="Arial"/>
        <family val="2"/>
        <scheme val="minor"/>
      </rPr>
      <t xml:space="preserve"> The management company must have managed at least five LIHTC and/or federally subsidized developments (each consisting of at least ten units) for at least one year each; or must have managed two LIHTC developments (each consisting of at least ten units) for at least three years each.</t>
    </r>
  </si>
  <si>
    <t>Provide the name, address, and contact information for the LIHTC properties the company currently manages.</t>
  </si>
  <si>
    <r>
      <t xml:space="preserve">The undersigned will unconditionally comply with all policies, rules, regulations, and guidelines of the Ohio Housing Finance Agency including all requirements set forth in the Qualified Allocation Plan 
The undersigned declares that notification pursuant to ORC Section 175.07 and applicable program guidelines has been made.  The undersigned assumes full responsibility for notification and agrees to hold the OHFA harmless for notification requirements.
</t>
    </r>
    <r>
      <rPr>
        <b/>
        <i/>
        <sz val="11"/>
        <color theme="1"/>
        <rFont val="Arial"/>
        <family val="2"/>
        <scheme val="minor"/>
      </rPr>
      <t>If applying for the Low Income Housing Tax Credit Program, the following additional conditions will apply:</t>
    </r>
    <r>
      <rPr>
        <sz val="11"/>
        <color theme="1"/>
        <rFont val="Arial"/>
        <family val="2"/>
        <scheme val="minor"/>
      </rPr>
      <t xml:space="preserve">
The undersigned is responsible for ensuring that the project consists or will consist of a qualified low-income building or buildings as defined in the Internal Revenue Code, Section 42, and will satisfy all applicable requirements of federal tax law in the acquisition, rehabilitation, or construction and operation of the project to receive low-income housing tax credits.
</t>
    </r>
    <r>
      <rPr>
        <b/>
        <i/>
        <sz val="11"/>
        <color theme="1"/>
        <rFont val="Arial"/>
        <family val="2"/>
        <scheme val="minor"/>
      </rPr>
      <t>If applying for the Housing Development Loan Program, the following additional conditions will apply:</t>
    </r>
    <r>
      <rPr>
        <sz val="11"/>
        <color theme="1"/>
        <rFont val="Arial"/>
        <family val="2"/>
        <scheme val="minor"/>
      </rPr>
      <t xml:space="preserve">
The undersigned is responsible for the provision of ORC 175, the pertinent Administrative Rules, and OHFA HDL Guidelines. The undersigned certifies that this project can proceed only "but for" the receipt of the Housing Development Loan.
</t>
    </r>
    <r>
      <rPr>
        <b/>
        <i/>
        <sz val="11"/>
        <color theme="1"/>
        <rFont val="Arial"/>
        <family val="2"/>
        <scheme val="minor"/>
      </rPr>
      <t>If applying for the Housing Development Assistance Program (HDAP), the following additional conditions will apply:</t>
    </r>
    <r>
      <rPr>
        <sz val="11"/>
        <color theme="1"/>
        <rFont val="Arial"/>
        <family val="2"/>
        <scheme val="minor"/>
      </rPr>
      <t xml:space="preserve">
The undersigned has full power and authority to execute, deliver, perform, enter into and carry out the performance of this proposal according to the undersigned's charter, by-laws, and/or articles of incorporation. The undersigned has read, understood and will abide by the current HDAP guidelines. The board of the nonprofit organization has passed a resolution authorizing submission of this request for funding to the Ohio Housing Finance Agency, and a copy of this resolution is attached. 
</t>
    </r>
  </si>
  <si>
    <t>Non-LIHTC Eligible Basis</t>
  </si>
  <si>
    <t>Non-LIHTC Qualifying Units of Higher Quality</t>
  </si>
  <si>
    <t>LIHTC Type</t>
  </si>
  <si>
    <t>Type of LIHTC Sought:</t>
  </si>
  <si>
    <r>
      <t xml:space="preserve">Has project ever </t>
    </r>
    <r>
      <rPr>
        <b/>
        <u/>
        <sz val="11"/>
        <color theme="1"/>
        <rFont val="Arial"/>
        <family val="2"/>
        <scheme val="minor"/>
      </rPr>
      <t>applied</t>
    </r>
    <r>
      <rPr>
        <sz val="11"/>
        <color theme="1"/>
        <rFont val="Arial"/>
        <family val="2"/>
        <scheme val="minor"/>
      </rPr>
      <t xml:space="preserve"> for LIHTC?</t>
    </r>
  </si>
  <si>
    <r>
      <t xml:space="preserve">Has project ever </t>
    </r>
    <r>
      <rPr>
        <b/>
        <u/>
        <sz val="11"/>
        <color theme="1"/>
        <rFont val="Arial"/>
        <family val="2"/>
        <scheme val="minor"/>
      </rPr>
      <t>received</t>
    </r>
    <r>
      <rPr>
        <sz val="11"/>
        <color theme="1"/>
        <rFont val="Arial"/>
        <family val="2"/>
        <scheme val="minor"/>
      </rPr>
      <t xml:space="preserve"> LIHTC? </t>
    </r>
  </si>
  <si>
    <t xml:space="preserve">Has project received LIHTC in last 10 years? </t>
  </si>
  <si>
    <t>LIHTC Request</t>
  </si>
  <si>
    <t>LIHTC Application Fee</t>
  </si>
  <si>
    <t>LIHTC Reservation Fee</t>
  </si>
  <si>
    <t>LIHTC/PC Monitoring Fee</t>
  </si>
  <si>
    <t>Developer Fee as a Percent of Basis:</t>
  </si>
  <si>
    <t>4% LIHTC Maximum Developer Fee Calculation</t>
  </si>
  <si>
    <t># 504 Mobility Units</t>
  </si>
  <si>
    <t># 504 Sensory Units</t>
  </si>
  <si>
    <t>• Unless otherwise communicated by OHFA in advance of the application deadline, all application materials must be submitted electronically, via OHFA's File Transfer Site (FTS)</t>
  </si>
  <si>
    <t>• All submissions must include the respective application fee payable by ACH to the Ohio Housing Finance Agency. The project name and payment must be included. Applicants must contact OHFA for ACH instructions .</t>
  </si>
  <si>
    <t>AHFA published</t>
  </si>
  <si>
    <t>4% LIHTC Only Submission Requirements</t>
  </si>
  <si>
    <t xml:space="preserve">See 2022-2023 QAP with 2023 Technical Amendments for Details </t>
  </si>
  <si>
    <t>4% LIHTC Only</t>
  </si>
  <si>
    <t>4% LIHTC</t>
  </si>
  <si>
    <t>Scoring Pool</t>
  </si>
  <si>
    <t>N/A</t>
  </si>
  <si>
    <t>2020 Census Tract GEOID</t>
  </si>
  <si>
    <t>Brown County</t>
  </si>
  <si>
    <t>Hocking County</t>
  </si>
  <si>
    <t>Ottawa County</t>
  </si>
  <si>
    <t>Perry County</t>
  </si>
  <si>
    <t>Union County</t>
  </si>
  <si>
    <t>Census Tract 7701, Adams County</t>
  </si>
  <si>
    <t>Census Tract 7702, Adams County</t>
  </si>
  <si>
    <t>Census Tract 7703.01, Adams County</t>
  </si>
  <si>
    <t>Census Tract 7703.02, Adams County</t>
  </si>
  <si>
    <t>Census Tract 7704, Adams County</t>
  </si>
  <si>
    <t>Census Tract 7705, Adams County</t>
  </si>
  <si>
    <t>Census Tract 7706, Adams County</t>
  </si>
  <si>
    <t>Census Tract 101, Allen County</t>
  </si>
  <si>
    <t>Census Tract 102, Allen County</t>
  </si>
  <si>
    <t>Census Tract 103, Allen County</t>
  </si>
  <si>
    <t>Census Tract 106, Allen County</t>
  </si>
  <si>
    <t>Census Tract 108.01, Allen County</t>
  </si>
  <si>
    <t>Census Tract 108.02, Allen County</t>
  </si>
  <si>
    <t>Census Tract 109, Allen County</t>
  </si>
  <si>
    <t>Census Tract 110, Allen County</t>
  </si>
  <si>
    <t>Census Tract 112, Allen County</t>
  </si>
  <si>
    <t>Census Tract 113.01, Allen County</t>
  </si>
  <si>
    <t>Census Tract 113.02, Allen County</t>
  </si>
  <si>
    <t>Census Tract 114, Allen County</t>
  </si>
  <si>
    <t>Census Tract 115, Allen County</t>
  </si>
  <si>
    <t>Census Tract 116, Allen County</t>
  </si>
  <si>
    <t>Census Tract 118, Allen County</t>
  </si>
  <si>
    <t>Census Tract 119, Allen County</t>
  </si>
  <si>
    <t>Census Tract 120, Allen County</t>
  </si>
  <si>
    <t>Census Tract 121, Allen County</t>
  </si>
  <si>
    <t>Census Tract 122, Allen County</t>
  </si>
  <si>
    <t>Census Tract 123, Allen County</t>
  </si>
  <si>
    <t>Census Tract 124, Allen County</t>
  </si>
  <si>
    <t>Census Tract 126, Allen County</t>
  </si>
  <si>
    <t>Census Tract 127, Allen County</t>
  </si>
  <si>
    <t>Census Tract 129, Allen County</t>
  </si>
  <si>
    <t>Census Tract 130, Allen County</t>
  </si>
  <si>
    <t>Census Tract 131, Allen County</t>
  </si>
  <si>
    <t>Census Tract 132, Allen County</t>
  </si>
  <si>
    <t>Census Tract 133, Allen County</t>
  </si>
  <si>
    <t>Census Tract 134, Allen County</t>
  </si>
  <si>
    <t>Census Tract 136, Allen County</t>
  </si>
  <si>
    <t>Census Tract 137, Allen County</t>
  </si>
  <si>
    <t>Census Tract 138, Allen County</t>
  </si>
  <si>
    <t>Census Tract 139, Allen County</t>
  </si>
  <si>
    <t>Census Tract 140, Allen County</t>
  </si>
  <si>
    <t>Census Tract 141, Allen County</t>
  </si>
  <si>
    <t>Census Tract 9701.01, Ashland County</t>
  </si>
  <si>
    <t>Census Tract 9701.02, Ashland County</t>
  </si>
  <si>
    <t>Census Tract 9702, Ashland County</t>
  </si>
  <si>
    <t>Census Tract 9703, Ashland County</t>
  </si>
  <si>
    <t>Census Tract 9704, Ashland County</t>
  </si>
  <si>
    <t>Census Tract 9705, Ashland County</t>
  </si>
  <si>
    <t>Census Tract 9706, Ashland County</t>
  </si>
  <si>
    <t>Census Tract 9707, Ashland County</t>
  </si>
  <si>
    <t>Census Tract 9708, Ashland County</t>
  </si>
  <si>
    <t>Census Tract 9709, Ashland County</t>
  </si>
  <si>
    <t>Census Tract 9710, Ashland County</t>
  </si>
  <si>
    <t>Census Tract 9711, Ashland County</t>
  </si>
  <si>
    <t>Census Tract 1.01, Ashtabula County</t>
  </si>
  <si>
    <t>Census Tract 1.02, Ashtabula County</t>
  </si>
  <si>
    <t>Census Tract 1.03, Ashtabula County</t>
  </si>
  <si>
    <t>Census Tract 2, Ashtabula County</t>
  </si>
  <si>
    <t>Census Tract 3, Ashtabula County</t>
  </si>
  <si>
    <t>Census Tract 4, Ashtabula County</t>
  </si>
  <si>
    <t>Census Tract 5, Ashtabula County</t>
  </si>
  <si>
    <t>Census Tract 6.01, Ashtabula County</t>
  </si>
  <si>
    <t>Census Tract 6.02, Ashtabula County</t>
  </si>
  <si>
    <t>Census Tract 6.03, Ashtabula County</t>
  </si>
  <si>
    <t>Census Tract 7.01, Ashtabula County</t>
  </si>
  <si>
    <t>Census Tract 7.02, Ashtabula County</t>
  </si>
  <si>
    <t>Census Tract 7.03, Ashtabula County</t>
  </si>
  <si>
    <t>Census Tract 7.04, Ashtabula County</t>
  </si>
  <si>
    <t>Census Tract 8.01, Ashtabula County</t>
  </si>
  <si>
    <t>Census Tract 8.02, Ashtabula County</t>
  </si>
  <si>
    <t>Census Tract 9, Ashtabula County</t>
  </si>
  <si>
    <t>Census Tract 10.01, Ashtabula County</t>
  </si>
  <si>
    <t>Census Tract 10.02, Ashtabula County</t>
  </si>
  <si>
    <t>Census Tract 11.01, Ashtabula County</t>
  </si>
  <si>
    <t>Census Tract 11.02, Ashtabula County</t>
  </si>
  <si>
    <t>Census Tract 12.01, Ashtabula County</t>
  </si>
  <si>
    <t>Census Tract 12.02, Ashtabula County</t>
  </si>
  <si>
    <t>Census Tract 13.01, Ashtabula County</t>
  </si>
  <si>
    <t>Census Tract 13.03, Ashtabula County</t>
  </si>
  <si>
    <t>Census Tract 13.04, Ashtabula County</t>
  </si>
  <si>
    <t>Census Tract 14.01, Ashtabula County</t>
  </si>
  <si>
    <t>Census Tract 14.02, Ashtabula County</t>
  </si>
  <si>
    <t>Census Tract 9900, Ashtabula County</t>
  </si>
  <si>
    <t>Census Tract 9726, Athens County</t>
  </si>
  <si>
    <t>Census Tract 9727, Athens County</t>
  </si>
  <si>
    <t>Census Tract 9728, Athens County</t>
  </si>
  <si>
    <t>Census Tract 9729, Athens County</t>
  </si>
  <si>
    <t>Census Tract 9730, Athens County</t>
  </si>
  <si>
    <t>Census Tract 9731.01, Athens County</t>
  </si>
  <si>
    <t>Census Tract 9732, Athens County</t>
  </si>
  <si>
    <t>Census Tract 9733, Athens County</t>
  </si>
  <si>
    <t>Census Tract 9734, Athens County</t>
  </si>
  <si>
    <t>Census Tract 9735, Athens County</t>
  </si>
  <si>
    <t>Census Tract 9736, Athens County</t>
  </si>
  <si>
    <t>Census Tract 9737, Athens County</t>
  </si>
  <si>
    <t>Census Tract 9738, Athens County</t>
  </si>
  <si>
    <t>Census Tract 9739.01, Athens County</t>
  </si>
  <si>
    <t>Census Tract 9739.02, Athens County</t>
  </si>
  <si>
    <t>Census Tract 401, Auglaize County</t>
  </si>
  <si>
    <t>Census Tract 402, Auglaize County</t>
  </si>
  <si>
    <t>Census Tract 403, Auglaize County</t>
  </si>
  <si>
    <t>Census Tract 404, Auglaize County</t>
  </si>
  <si>
    <t>Census Tract 405, Auglaize County</t>
  </si>
  <si>
    <t>Census Tract 406, Auglaize County</t>
  </si>
  <si>
    <t>Census Tract 409, Auglaize County</t>
  </si>
  <si>
    <t>Census Tract 410, Auglaize County</t>
  </si>
  <si>
    <t>Census Tract 411, Auglaize County</t>
  </si>
  <si>
    <t>Census Tract 412.01, Auglaize County</t>
  </si>
  <si>
    <t>Census Tract 412.02, Auglaize County</t>
  </si>
  <si>
    <t>Census Tract 101, Belmont County</t>
  </si>
  <si>
    <t>Census Tract 102, Belmont County</t>
  </si>
  <si>
    <t>Census Tract 103, Belmont County</t>
  </si>
  <si>
    <t>Census Tract 106, Belmont County</t>
  </si>
  <si>
    <t>Census Tract 107, Belmont County</t>
  </si>
  <si>
    <t>Census Tract 108.02, Belmont County</t>
  </si>
  <si>
    <t>Census Tract 109.01, Belmont County</t>
  </si>
  <si>
    <t>Census Tract 109.02, Belmont County</t>
  </si>
  <si>
    <t>Census Tract 110, Belmont County</t>
  </si>
  <si>
    <t>Census Tract 112, Belmont County</t>
  </si>
  <si>
    <t>Census Tract 113, Belmont County</t>
  </si>
  <si>
    <t>Census Tract 114, Belmont County</t>
  </si>
  <si>
    <t>Census Tract 115, Belmont County</t>
  </si>
  <si>
    <t>Census Tract 116, Belmont County</t>
  </si>
  <si>
    <t>Census Tract 117, Belmont County</t>
  </si>
  <si>
    <t>Census Tract 119, Belmont County</t>
  </si>
  <si>
    <t>Census Tract 120, Belmont County</t>
  </si>
  <si>
    <t>Census Tract 121, Belmont County</t>
  </si>
  <si>
    <t>Census Tract 122.01, Belmont County</t>
  </si>
  <si>
    <t>Census Tract 122.02, Belmont County</t>
  </si>
  <si>
    <t>Census Tract 123, Belmont County</t>
  </si>
  <si>
    <t>Census Tract 124, Belmont County</t>
  </si>
  <si>
    <t>Census Tract 9512.01, Brown County</t>
  </si>
  <si>
    <t>Census Tract 9512.02, Brown County</t>
  </si>
  <si>
    <t>Census Tract 9513.01, Brown County</t>
  </si>
  <si>
    <t>Census Tract 9513.02, Brown County</t>
  </si>
  <si>
    <t>Census Tract 9514, Brown County</t>
  </si>
  <si>
    <t>Census Tract 9515, Brown County</t>
  </si>
  <si>
    <t>Census Tract 9516, Brown County</t>
  </si>
  <si>
    <t>Census Tract 9517, Brown County</t>
  </si>
  <si>
    <t>Census Tract 9518, Brown County</t>
  </si>
  <si>
    <t>Census Tract 9519, Brown County</t>
  </si>
  <si>
    <t>Census Tract 1, Butler County</t>
  </si>
  <si>
    <t>Census Tract 2, Butler County</t>
  </si>
  <si>
    <t>Census Tract 3, Butler County</t>
  </si>
  <si>
    <t>Census Tract 4, Butler County</t>
  </si>
  <si>
    <t>Census Tract 5, Butler County</t>
  </si>
  <si>
    <t>Census Tract 6, Butler County</t>
  </si>
  <si>
    <t>Census Tract 10.01, Butler County</t>
  </si>
  <si>
    <t>Census Tract 10.02, Butler County</t>
  </si>
  <si>
    <t>Census Tract 11, Butler County</t>
  </si>
  <si>
    <t>Census Tract 13, Butler County</t>
  </si>
  <si>
    <t>Census Tract 101.02, Butler County</t>
  </si>
  <si>
    <t>Census Tract 101.03, Butler County</t>
  </si>
  <si>
    <t>Census Tract 101.04, Butler County</t>
  </si>
  <si>
    <t>Census Tract 101.05, Butler County</t>
  </si>
  <si>
    <t>Census Tract 101.06, Butler County</t>
  </si>
  <si>
    <t>Census Tract 102.01, Butler County</t>
  </si>
  <si>
    <t>Census Tract 102.02, Butler County</t>
  </si>
  <si>
    <t>Census Tract 102.03, Butler County</t>
  </si>
  <si>
    <t>Census Tract 103.01, Butler County</t>
  </si>
  <si>
    <t>Census Tract 103.02, Butler County</t>
  </si>
  <si>
    <t>Census Tract 105, Butler County</t>
  </si>
  <si>
    <t>Census Tract 106, Butler County</t>
  </si>
  <si>
    <t>Census Tract 108, Butler County</t>
  </si>
  <si>
    <t>Census Tract 109.01, Butler County</t>
  </si>
  <si>
    <t>Census Tract 109.03, Butler County</t>
  </si>
  <si>
    <t>Census Tract 109.04, Butler County</t>
  </si>
  <si>
    <t>Census Tract 109.06, Butler County</t>
  </si>
  <si>
    <t>Census Tract 109.07, Butler County</t>
  </si>
  <si>
    <t>Census Tract 109.09, Butler County</t>
  </si>
  <si>
    <t>Census Tract 109.1, Butler County</t>
  </si>
  <si>
    <t>Census Tract 109.11, Butler County</t>
  </si>
  <si>
    <t>Census Tract 109.12, Butler County</t>
  </si>
  <si>
    <t>Census Tract 109.13, Butler County</t>
  </si>
  <si>
    <t>Census Tract 110.03, Butler County</t>
  </si>
  <si>
    <t>Census Tract 110.04, Butler County</t>
  </si>
  <si>
    <t>Census Tract 110.05, Butler County</t>
  </si>
  <si>
    <t>Census Tract 110.06, Butler County</t>
  </si>
  <si>
    <t>Census Tract 111.09, Butler County</t>
  </si>
  <si>
    <t>Census Tract 111.1, Butler County</t>
  </si>
  <si>
    <t>Census Tract 111.11, Butler County</t>
  </si>
  <si>
    <t>Census Tract 111.12, Butler County</t>
  </si>
  <si>
    <t>Census Tract 111.18, Butler County</t>
  </si>
  <si>
    <t>Census Tract 111.2, Butler County</t>
  </si>
  <si>
    <t>Census Tract 111.22, Butler County</t>
  </si>
  <si>
    <t>Census Tract 111.23, Butler County</t>
  </si>
  <si>
    <t>Census Tract 111.25, Butler County</t>
  </si>
  <si>
    <t>Census Tract 111.26, Butler County</t>
  </si>
  <si>
    <t>Census Tract 111.27, Butler County</t>
  </si>
  <si>
    <t>Census Tract 111.28, Butler County</t>
  </si>
  <si>
    <t>Census Tract 111.29, Butler County</t>
  </si>
  <si>
    <t>Census Tract 111.3, Butler County</t>
  </si>
  <si>
    <t>Census Tract 111.31, Butler County</t>
  </si>
  <si>
    <t>Census Tract 111.32, Butler County</t>
  </si>
  <si>
    <t>Census Tract 111.33, Butler County</t>
  </si>
  <si>
    <t>Census Tract 111.34, Butler County</t>
  </si>
  <si>
    <t>Census Tract 111.35, Butler County</t>
  </si>
  <si>
    <t>Census Tract 111.36, Butler County</t>
  </si>
  <si>
    <t>Census Tract 111.37, Butler County</t>
  </si>
  <si>
    <t>Census Tract 112, Butler County</t>
  </si>
  <si>
    <t>Census Tract 113, Butler County</t>
  </si>
  <si>
    <t>Census Tract 118, Butler County</t>
  </si>
  <si>
    <t>Census Tract 121, Butler County</t>
  </si>
  <si>
    <t>Census Tract 122, Butler County</t>
  </si>
  <si>
    <t>Census Tract 123, Butler County</t>
  </si>
  <si>
    <t>Census Tract 124, Butler County</t>
  </si>
  <si>
    <t>Census Tract 125, Butler County</t>
  </si>
  <si>
    <t>Census Tract 126, Butler County</t>
  </si>
  <si>
    <t>Census Tract 127, Butler County</t>
  </si>
  <si>
    <t>Census Tract 130, Butler County</t>
  </si>
  <si>
    <t>Census Tract 131, Butler County</t>
  </si>
  <si>
    <t>Census Tract 132, Butler County</t>
  </si>
  <si>
    <t>Census Tract 133, Butler County</t>
  </si>
  <si>
    <t>Census Tract 134, Butler County</t>
  </si>
  <si>
    <t>Census Tract 135, Butler County</t>
  </si>
  <si>
    <t>Census Tract 136, Butler County</t>
  </si>
  <si>
    <t>Census Tract 139, Butler County</t>
  </si>
  <si>
    <t>Census Tract 140, Butler County</t>
  </si>
  <si>
    <t>Census Tract 141, Butler County</t>
  </si>
  <si>
    <t>Census Tract 143, Butler County</t>
  </si>
  <si>
    <t>Census Tract 144, Butler County</t>
  </si>
  <si>
    <t>Census Tract 146, Butler County</t>
  </si>
  <si>
    <t>Census Tract 147, Butler County</t>
  </si>
  <si>
    <t>Census Tract 148, Butler County</t>
  </si>
  <si>
    <t>Census Tract 149, Butler County</t>
  </si>
  <si>
    <t>Census Tract 150, Butler County</t>
  </si>
  <si>
    <t>Census Tract 151, Butler County</t>
  </si>
  <si>
    <t>Census Tract 7201, Carroll County</t>
  </si>
  <si>
    <t>Census Tract 7202, Carroll County</t>
  </si>
  <si>
    <t>Census Tract 7203, Carroll County</t>
  </si>
  <si>
    <t>Census Tract 7204, Carroll County</t>
  </si>
  <si>
    <t>Census Tract 7205, Carroll County</t>
  </si>
  <si>
    <t>Census Tract 7206, Carroll County</t>
  </si>
  <si>
    <t>Census Tract 7207, Carroll County</t>
  </si>
  <si>
    <t>Census Tract 101, Champaign County</t>
  </si>
  <si>
    <t>Census Tract 102, Champaign County</t>
  </si>
  <si>
    <t>Census Tract 104, Champaign County</t>
  </si>
  <si>
    <t>Census Tract 105, Champaign County</t>
  </si>
  <si>
    <t>Census Tract 106, Champaign County</t>
  </si>
  <si>
    <t>Census Tract 110.01, Champaign County</t>
  </si>
  <si>
    <t>Census Tract 115.01, Champaign County</t>
  </si>
  <si>
    <t>Census Tract 115.04, Champaign County</t>
  </si>
  <si>
    <t>Census Tract 115.05, Champaign County</t>
  </si>
  <si>
    <t>Census Tract 115.06, Champaign County</t>
  </si>
  <si>
    <t>Census Tract 2, Clark County</t>
  </si>
  <si>
    <t>Census Tract 3, Clark County</t>
  </si>
  <si>
    <t>Census Tract 4, Clark County</t>
  </si>
  <si>
    <t>Census Tract 5, Clark County</t>
  </si>
  <si>
    <t>Census Tract 6, Clark County</t>
  </si>
  <si>
    <t>Census Tract 7, Clark County</t>
  </si>
  <si>
    <t>Census Tract 9.01, Clark County</t>
  </si>
  <si>
    <t>Census Tract 9.02, Clark County</t>
  </si>
  <si>
    <t>Census Tract 10, Clark County</t>
  </si>
  <si>
    <t>Census Tract 11.01, Clark County</t>
  </si>
  <si>
    <t>Census Tract 11.02, Clark County</t>
  </si>
  <si>
    <t>Census Tract 12, Clark County</t>
  </si>
  <si>
    <t>Census Tract 13, Clark County</t>
  </si>
  <si>
    <t>Census Tract 14, Clark County</t>
  </si>
  <si>
    <t>Census Tract 15, Clark County</t>
  </si>
  <si>
    <t>Census Tract 16, Clark County</t>
  </si>
  <si>
    <t>Census Tract 17, Clark County</t>
  </si>
  <si>
    <t>Census Tract 19, Clark County</t>
  </si>
  <si>
    <t>Census Tract 20, Clark County</t>
  </si>
  <si>
    <t>Census Tract 21, Clark County</t>
  </si>
  <si>
    <t>Census Tract 22, Clark County</t>
  </si>
  <si>
    <t>Census Tract 23.01, Clark County</t>
  </si>
  <si>
    <t>Census Tract 24.03, Clark County</t>
  </si>
  <si>
    <t>Census Tract 24.04, Clark County</t>
  </si>
  <si>
    <t>Census Tract 25.01, Clark County</t>
  </si>
  <si>
    <t>Census Tract 25.02, Clark County</t>
  </si>
  <si>
    <t>Census Tract 26.01, Clark County</t>
  </si>
  <si>
    <t>Census Tract 26.02, Clark County</t>
  </si>
  <si>
    <t>Census Tract 26.05, Clark County</t>
  </si>
  <si>
    <t>Census Tract 26.07, Clark County</t>
  </si>
  <si>
    <t>Census Tract 26.08, Clark County</t>
  </si>
  <si>
    <t>Census Tract 27.01, Clark County</t>
  </si>
  <si>
    <t>Census Tract 27.02, Clark County</t>
  </si>
  <si>
    <t>Census Tract 28, Clark County</t>
  </si>
  <si>
    <t>Census Tract 29.01, Clark County</t>
  </si>
  <si>
    <t>Census Tract 29.02, Clark County</t>
  </si>
  <si>
    <t>Census Tract 30.01, Clark County</t>
  </si>
  <si>
    <t>Census Tract 30.02, Clark County</t>
  </si>
  <si>
    <t>Census Tract 31.01, Clark County</t>
  </si>
  <si>
    <t>Census Tract 31.02, Clark County</t>
  </si>
  <si>
    <t>Census Tract 32, Clark County</t>
  </si>
  <si>
    <t>Census Tract 33.01, Clark County</t>
  </si>
  <si>
    <t>Census Tract 33.02, Clark County</t>
  </si>
  <si>
    <t>Census Tract 34, Clark County</t>
  </si>
  <si>
    <t>Census Tract 37, Clark County</t>
  </si>
  <si>
    <t>Census Tract 401.01, Clermont County</t>
  </si>
  <si>
    <t>Census Tract 401.02, Clermont County</t>
  </si>
  <si>
    <t>Census Tract 402.02, Clermont County</t>
  </si>
  <si>
    <t>Census Tract 402.03, Clermont County</t>
  </si>
  <si>
    <t>Census Tract 402.05, Clermont County</t>
  </si>
  <si>
    <t>Census Tract 402.06, Clermont County</t>
  </si>
  <si>
    <t>Census Tract 403.01, Clermont County</t>
  </si>
  <si>
    <t>Census Tract 403.02, Clermont County</t>
  </si>
  <si>
    <t>Census Tract 403.03, Clermont County</t>
  </si>
  <si>
    <t>Census Tract 404.01, Clermont County</t>
  </si>
  <si>
    <t>Census Tract 404.03, Clermont County</t>
  </si>
  <si>
    <t>Census Tract 404.04, Clermont County</t>
  </si>
  <si>
    <t>Census Tract 404.05, Clermont County</t>
  </si>
  <si>
    <t>Census Tract 405, Clermont County</t>
  </si>
  <si>
    <t>Census Tract 406, Clermont County</t>
  </si>
  <si>
    <t>Census Tract 407.02, Clermont County</t>
  </si>
  <si>
    <t>Census Tract 407.03, Clermont County</t>
  </si>
  <si>
    <t>Census Tract 407.04, Clermont County</t>
  </si>
  <si>
    <t>Census Tract 408, Clermont County</t>
  </si>
  <si>
    <t>Census Tract 409, Clermont County</t>
  </si>
  <si>
    <t>Census Tract 410.01, Clermont County</t>
  </si>
  <si>
    <t>Census Tract 410.02, Clermont County</t>
  </si>
  <si>
    <t>Census Tract 411.01, Clermont County</t>
  </si>
  <si>
    <t>Census Tract 411.02, Clermont County</t>
  </si>
  <si>
    <t>Census Tract 411.04, Clermont County</t>
  </si>
  <si>
    <t>Census Tract 411.05, Clermont County</t>
  </si>
  <si>
    <t>Census Tract 412.01, Clermont County</t>
  </si>
  <si>
    <t>Census Tract 412.02, Clermont County</t>
  </si>
  <si>
    <t>Census Tract 413.03, Clermont County</t>
  </si>
  <si>
    <t>Census Tract 413.04, Clermont County</t>
  </si>
  <si>
    <t>Census Tract 413.05, Clermont County</t>
  </si>
  <si>
    <t>Census Tract 413.06, Clermont County</t>
  </si>
  <si>
    <t>Census Tract 413.07, Clermont County</t>
  </si>
  <si>
    <t>Census Tract 414.03, Clermont County</t>
  </si>
  <si>
    <t>Census Tract 414.04, Clermont County</t>
  </si>
  <si>
    <t>Census Tract 414.05, Clermont County</t>
  </si>
  <si>
    <t>Census Tract 414.06, Clermont County</t>
  </si>
  <si>
    <t>Census Tract 415.03, Clermont County</t>
  </si>
  <si>
    <t>Census Tract 415.04, Clermont County</t>
  </si>
  <si>
    <t>Census Tract 415.05, Clermont County</t>
  </si>
  <si>
    <t>Census Tract 415.06, Clermont County</t>
  </si>
  <si>
    <t>Census Tract 416, Clermont County</t>
  </si>
  <si>
    <t>Census Tract 417.01, Clermont County</t>
  </si>
  <si>
    <t>Census Tract 417.02, Clermont County</t>
  </si>
  <si>
    <t>Census Tract 418, Clermont County</t>
  </si>
  <si>
    <t>Census Tract 419, Clermont County</t>
  </si>
  <si>
    <t>Census Tract 420.01, Clermont County</t>
  </si>
  <si>
    <t>Census Tract 420.02, Clermont County</t>
  </si>
  <si>
    <t>Census Tract 9643, Clinton County</t>
  </si>
  <si>
    <t>Census Tract 9644, Clinton County</t>
  </si>
  <si>
    <t>Census Tract 9645.01, Clinton County</t>
  </si>
  <si>
    <t>Census Tract 9645.02, Clinton County</t>
  </si>
  <si>
    <t>Census Tract 9646, Clinton County</t>
  </si>
  <si>
    <t>Census Tract 9647, Clinton County</t>
  </si>
  <si>
    <t>Census Tract 9648, Clinton County</t>
  </si>
  <si>
    <t>Census Tract 9649, Clinton County</t>
  </si>
  <si>
    <t>Census Tract 9650, Clinton County</t>
  </si>
  <si>
    <t>Census Tract 9651, Clinton County</t>
  </si>
  <si>
    <t>Census Tract 9501, Columbiana County</t>
  </si>
  <si>
    <t>Census Tract 9502, Columbiana County</t>
  </si>
  <si>
    <t>Census Tract 9503, Columbiana County</t>
  </si>
  <si>
    <t>Census Tract 9504, Columbiana County</t>
  </si>
  <si>
    <t>Census Tract 9505, Columbiana County</t>
  </si>
  <si>
    <t>Census Tract 9506, Columbiana County</t>
  </si>
  <si>
    <t>Census Tract 9507, Columbiana County</t>
  </si>
  <si>
    <t>Census Tract 9508, Columbiana County</t>
  </si>
  <si>
    <t>Census Tract 9509, Columbiana County</t>
  </si>
  <si>
    <t>Census Tract 9510, Columbiana County</t>
  </si>
  <si>
    <t>Census Tract 9511, Columbiana County</t>
  </si>
  <si>
    <t>Census Tract 9512, Columbiana County</t>
  </si>
  <si>
    <t>Census Tract 9513, Columbiana County</t>
  </si>
  <si>
    <t>Census Tract 9514.01, Columbiana County</t>
  </si>
  <si>
    <t>Census Tract 9514.02, Columbiana County</t>
  </si>
  <si>
    <t>Census Tract 9515, Columbiana County</t>
  </si>
  <si>
    <t>Census Tract 9516, Columbiana County</t>
  </si>
  <si>
    <t>Census Tract 9517, Columbiana County</t>
  </si>
  <si>
    <t>Census Tract 9518, Columbiana County</t>
  </si>
  <si>
    <t>Census Tract 9519, Columbiana County</t>
  </si>
  <si>
    <t>Census Tract 9520, Columbiana County</t>
  </si>
  <si>
    <t>Census Tract 9521, Columbiana County</t>
  </si>
  <si>
    <t>Census Tract 9522, Columbiana County</t>
  </si>
  <si>
    <t>Census Tract 9523, Columbiana County</t>
  </si>
  <si>
    <t>Census Tract 9524, Columbiana County</t>
  </si>
  <si>
    <t>Census Tract 9609, Coshocton County</t>
  </si>
  <si>
    <t>Census Tract 9610, Coshocton County</t>
  </si>
  <si>
    <t>Census Tract 9611, Coshocton County</t>
  </si>
  <si>
    <t>Census Tract 9612, Coshocton County</t>
  </si>
  <si>
    <t>Census Tract 9613, Coshocton County</t>
  </si>
  <si>
    <t>Census Tract 9614, Coshocton County</t>
  </si>
  <si>
    <t>Census Tract 9615, Coshocton County</t>
  </si>
  <si>
    <t>Census Tract 9616, Coshocton County</t>
  </si>
  <si>
    <t>Census Tract 9617, Coshocton County</t>
  </si>
  <si>
    <t>Census Tract 9618, Coshocton County</t>
  </si>
  <si>
    <t>Census Tract 9741, Crawford County</t>
  </si>
  <si>
    <t>Census Tract 9742, Crawford County</t>
  </si>
  <si>
    <t>Census Tract 9743, Crawford County</t>
  </si>
  <si>
    <t>Census Tract 9744, Crawford County</t>
  </si>
  <si>
    <t>Census Tract 9745, Crawford County</t>
  </si>
  <si>
    <t>Census Tract 9746, Crawford County</t>
  </si>
  <si>
    <t>Census Tract 9747, Crawford County</t>
  </si>
  <si>
    <t>Census Tract 9748, Crawford County</t>
  </si>
  <si>
    <t>Census Tract 9749, Crawford County</t>
  </si>
  <si>
    <t>Census Tract 9750, Crawford County</t>
  </si>
  <si>
    <t>Census Tract 9751, Crawford County</t>
  </si>
  <si>
    <t>Census Tract 9752, Crawford County</t>
  </si>
  <si>
    <t>Census Tract 9753, Crawford County</t>
  </si>
  <si>
    <t>Census Tract 1011.01, Cuyahoga County</t>
  </si>
  <si>
    <t>Census Tract 1011.02, Cuyahoga County</t>
  </si>
  <si>
    <t>Census Tract 1012.01, Cuyahoga County</t>
  </si>
  <si>
    <t>Census Tract 1013, Cuyahoga County</t>
  </si>
  <si>
    <t>Census Tract 1014, Cuyahoga County</t>
  </si>
  <si>
    <t>Census Tract 1015.01, Cuyahoga County</t>
  </si>
  <si>
    <t>Census Tract 1016.03, Cuyahoga County</t>
  </si>
  <si>
    <t>Census Tract 1017, Cuyahoga County</t>
  </si>
  <si>
    <t>Census Tract 1018, Cuyahoga County</t>
  </si>
  <si>
    <t>Census Tract 1019.01, Cuyahoga County</t>
  </si>
  <si>
    <t>Census Tract 1021.01, Cuyahoga County</t>
  </si>
  <si>
    <t>Census Tract 1021.02, Cuyahoga County</t>
  </si>
  <si>
    <t>Census Tract 1022, Cuyahoga County</t>
  </si>
  <si>
    <t>Census Tract 1023, Cuyahoga County</t>
  </si>
  <si>
    <t>Census Tract 1024.01, Cuyahoga County</t>
  </si>
  <si>
    <t>Census Tract 1024.02, Cuyahoga County</t>
  </si>
  <si>
    <t>Census Tract 1027, Cuyahoga County</t>
  </si>
  <si>
    <t>Census Tract 1028, Cuyahoga County</t>
  </si>
  <si>
    <t>Census Tract 1029, Cuyahoga County</t>
  </si>
  <si>
    <t>Census Tract 1033, Cuyahoga County</t>
  </si>
  <si>
    <t>Census Tract 1035, Cuyahoga County</t>
  </si>
  <si>
    <t>Census Tract 1036.02, Cuyahoga County</t>
  </si>
  <si>
    <t>Census Tract 1038, Cuyahoga County</t>
  </si>
  <si>
    <t>Census Tract 1044, Cuyahoga County</t>
  </si>
  <si>
    <t>Census Tract 1048, Cuyahoga County</t>
  </si>
  <si>
    <t>Census Tract 1051, Cuyahoga County</t>
  </si>
  <si>
    <t>Census Tract 1053, Cuyahoga County</t>
  </si>
  <si>
    <t>Census Tract 1054, Cuyahoga County</t>
  </si>
  <si>
    <t>Census Tract 1055, Cuyahoga County</t>
  </si>
  <si>
    <t>Census Tract 1056.02, Cuyahoga County</t>
  </si>
  <si>
    <t>Census Tract 1057, Cuyahoga County</t>
  </si>
  <si>
    <t>Census Tract 1059, Cuyahoga County</t>
  </si>
  <si>
    <t>Census Tract 1061, Cuyahoga County</t>
  </si>
  <si>
    <t>Census Tract 1062, Cuyahoga County</t>
  </si>
  <si>
    <t>Census Tract 1065, Cuyahoga County</t>
  </si>
  <si>
    <t>Census Tract 1066, Cuyahoga County</t>
  </si>
  <si>
    <t>Census Tract 1068, Cuyahoga County</t>
  </si>
  <si>
    <t>Census Tract 1069, Cuyahoga County</t>
  </si>
  <si>
    <t>Census Tract 1070, Cuyahoga County</t>
  </si>
  <si>
    <t>Census Tract 1071.01, Cuyahoga County</t>
  </si>
  <si>
    <t>Census Tract 1077.01, Cuyahoga County</t>
  </si>
  <si>
    <t>Census Tract 1078.02, Cuyahoga County</t>
  </si>
  <si>
    <t>Census Tract 1082.01, Cuyahoga County</t>
  </si>
  <si>
    <t>Census Tract 1083.01, Cuyahoga County</t>
  </si>
  <si>
    <t>Census Tract 1084, Cuyahoga County</t>
  </si>
  <si>
    <t>Census Tract 1087.01, Cuyahoga County</t>
  </si>
  <si>
    <t>Census Tract 1093.01, Cuyahoga County</t>
  </si>
  <si>
    <t>Census Tract 1097.01, Cuyahoga County</t>
  </si>
  <si>
    <t>Census Tract 1098.01, Cuyahoga County</t>
  </si>
  <si>
    <t>Census Tract 1109.01, Cuyahoga County</t>
  </si>
  <si>
    <t>Census Tract 1112.02, Cuyahoga County</t>
  </si>
  <si>
    <t>Census Tract 1114.01, Cuyahoga County</t>
  </si>
  <si>
    <t>Census Tract 1117, Cuyahoga County</t>
  </si>
  <si>
    <t>Census Tract 1121, Cuyahoga County</t>
  </si>
  <si>
    <t>Census Tract 1122, Cuyahoga County</t>
  </si>
  <si>
    <t>Census Tract 1123.01, Cuyahoga County</t>
  </si>
  <si>
    <t>Census Tract 1145.01, Cuyahoga County</t>
  </si>
  <si>
    <t>Census Tract 1146, Cuyahoga County</t>
  </si>
  <si>
    <t>Census Tract 1148, Cuyahoga County</t>
  </si>
  <si>
    <t>Census Tract 1154, Cuyahoga County</t>
  </si>
  <si>
    <t>Census Tract 1157, Cuyahoga County</t>
  </si>
  <si>
    <t>Census Tract 1158, Cuyahoga County</t>
  </si>
  <si>
    <t>Census Tract 1159, Cuyahoga County</t>
  </si>
  <si>
    <t>Census Tract 1163, Cuyahoga County</t>
  </si>
  <si>
    <t>Census Tract 1164, Cuyahoga County</t>
  </si>
  <si>
    <t>Census Tract 1165, Cuyahoga County</t>
  </si>
  <si>
    <t>Census Tract 1166, Cuyahoga County</t>
  </si>
  <si>
    <t>Census Tract 1167, Cuyahoga County</t>
  </si>
  <si>
    <t>Census Tract 1168, Cuyahoga County</t>
  </si>
  <si>
    <t>Census Tract 1169, Cuyahoga County</t>
  </si>
  <si>
    <t>Census Tract 1171.01, Cuyahoga County</t>
  </si>
  <si>
    <t>Census Tract 1171.02, Cuyahoga County</t>
  </si>
  <si>
    <t>Census Tract 1172.01, Cuyahoga County</t>
  </si>
  <si>
    <t>Census Tract 1172.03, Cuyahoga County</t>
  </si>
  <si>
    <t>Census Tract 1173, Cuyahoga County</t>
  </si>
  <si>
    <t>Census Tract 1174, Cuyahoga County</t>
  </si>
  <si>
    <t>Census Tract 1175, Cuyahoga County</t>
  </si>
  <si>
    <t>Census Tract 1176, Cuyahoga County</t>
  </si>
  <si>
    <t>Census Tract 1177, Cuyahoga County</t>
  </si>
  <si>
    <t>Census Tract 1178, Cuyahoga County</t>
  </si>
  <si>
    <t>Census Tract 1179, Cuyahoga County</t>
  </si>
  <si>
    <t>Census Tract 1181.01, Cuyahoga County</t>
  </si>
  <si>
    <t>Census Tract 1182, Cuyahoga County</t>
  </si>
  <si>
    <t>Census Tract 1183.01, Cuyahoga County</t>
  </si>
  <si>
    <t>Census Tract 1186.02, Cuyahoga County</t>
  </si>
  <si>
    <t>Census Tract 1188, Cuyahoga County</t>
  </si>
  <si>
    <t>Census Tract 1189, Cuyahoga County</t>
  </si>
  <si>
    <t>Census Tract 1194.01, Cuyahoga County</t>
  </si>
  <si>
    <t>Census Tract 1194.02, Cuyahoga County</t>
  </si>
  <si>
    <t>Census Tract 1195.01, Cuyahoga County</t>
  </si>
  <si>
    <t>Census Tract 1195.02, Cuyahoga County</t>
  </si>
  <si>
    <t>Census Tract 1196, Cuyahoga County</t>
  </si>
  <si>
    <t>Census Tract 1197.01, Cuyahoga County</t>
  </si>
  <si>
    <t>Census Tract 1197.02, Cuyahoga County</t>
  </si>
  <si>
    <t>Census Tract 1198, Cuyahoga County</t>
  </si>
  <si>
    <t>Census Tract 1199, Cuyahoga County</t>
  </si>
  <si>
    <t>Census Tract 1202, Cuyahoga County</t>
  </si>
  <si>
    <t>Census Tract 1204, Cuyahoga County</t>
  </si>
  <si>
    <t>Census Tract 1205, Cuyahoga County</t>
  </si>
  <si>
    <t>Census Tract 1206, Cuyahoga County</t>
  </si>
  <si>
    <t>Census Tract 1207.01, Cuyahoga County</t>
  </si>
  <si>
    <t>Census Tract 1207.02, Cuyahoga County</t>
  </si>
  <si>
    <t>Census Tract 1208.01, Cuyahoga County</t>
  </si>
  <si>
    <t>Census Tract 1208.02, Cuyahoga County</t>
  </si>
  <si>
    <t>Census Tract 1211, Cuyahoga County</t>
  </si>
  <si>
    <t>Census Tract 1212, Cuyahoga County</t>
  </si>
  <si>
    <t>Census Tract 1213, Cuyahoga County</t>
  </si>
  <si>
    <t>Census Tract 1214.01, Cuyahoga County</t>
  </si>
  <si>
    <t>Census Tract 1214.03, Cuyahoga County</t>
  </si>
  <si>
    <t>Census Tract 1215, Cuyahoga County</t>
  </si>
  <si>
    <t>Census Tract 1217, Cuyahoga County</t>
  </si>
  <si>
    <t>Census Tract 1218, Cuyahoga County</t>
  </si>
  <si>
    <t>Census Tract 1219, Cuyahoga County</t>
  </si>
  <si>
    <t>Census Tract 1221, Cuyahoga County</t>
  </si>
  <si>
    <t>Census Tract 1222, Cuyahoga County</t>
  </si>
  <si>
    <t>Census Tract 1223, Cuyahoga County</t>
  </si>
  <si>
    <t>Census Tract 1231, Cuyahoga County</t>
  </si>
  <si>
    <t>Census Tract 1232, Cuyahoga County</t>
  </si>
  <si>
    <t>Census Tract 1234, Cuyahoga County</t>
  </si>
  <si>
    <t>Census Tract 1235.01, Cuyahoga County</t>
  </si>
  <si>
    <t>Census Tract 1235.02, Cuyahoga County</t>
  </si>
  <si>
    <t>Census Tract 1236.01, Cuyahoga County</t>
  </si>
  <si>
    <t>Census Tract 1236.02, Cuyahoga County</t>
  </si>
  <si>
    <t>Census Tract 1236.03, Cuyahoga County</t>
  </si>
  <si>
    <t>Census Tract 1237, Cuyahoga County</t>
  </si>
  <si>
    <t>Census Tract 1238, Cuyahoga County</t>
  </si>
  <si>
    <t>Census Tract 1239, Cuyahoga County</t>
  </si>
  <si>
    <t>Census Tract 1241, Cuyahoga County</t>
  </si>
  <si>
    <t>Census Tract 1242.01, Cuyahoga County</t>
  </si>
  <si>
    <t>Census Tract 1242.02, Cuyahoga County</t>
  </si>
  <si>
    <t>Census Tract 1243, Cuyahoga County</t>
  </si>
  <si>
    <t>Census Tract 1245, Cuyahoga County</t>
  </si>
  <si>
    <t>Census Tract 1246, Cuyahoga County</t>
  </si>
  <si>
    <t>Census Tract 1261, Cuyahoga County</t>
  </si>
  <si>
    <t>Census Tract 1275.01, Cuyahoga County</t>
  </si>
  <si>
    <t>Census Tract 1301.03, Cuyahoga County</t>
  </si>
  <si>
    <t>Census Tract 1301.04, Cuyahoga County</t>
  </si>
  <si>
    <t>Census Tract 1301.05, Cuyahoga County</t>
  </si>
  <si>
    <t>Census Tract 1301.06, Cuyahoga County</t>
  </si>
  <si>
    <t>Census Tract 1311.03, Cuyahoga County</t>
  </si>
  <si>
    <t>Census Tract 1311.04, Cuyahoga County</t>
  </si>
  <si>
    <t>Census Tract 1311.05, Cuyahoga County</t>
  </si>
  <si>
    <t>Census Tract 1321, Cuyahoga County</t>
  </si>
  <si>
    <t>Census Tract 1322, Cuyahoga County</t>
  </si>
  <si>
    <t>Census Tract 1323.01, Cuyahoga County</t>
  </si>
  <si>
    <t>Census Tract 1323.02, Cuyahoga County</t>
  </si>
  <si>
    <t>Census Tract 1331.03, Cuyahoga County</t>
  </si>
  <si>
    <t>Census Tract 1331.04, Cuyahoga County</t>
  </si>
  <si>
    <t>Census Tract 1341, Cuyahoga County</t>
  </si>
  <si>
    <t>Census Tract 1342.03, Cuyahoga County</t>
  </si>
  <si>
    <t>Census Tract 1342.04, Cuyahoga County</t>
  </si>
  <si>
    <t>Census Tract 1342.05, Cuyahoga County</t>
  </si>
  <si>
    <t>Census Tract 1342.06, Cuyahoga County</t>
  </si>
  <si>
    <t>Census Tract 1343, Cuyahoga County</t>
  </si>
  <si>
    <t>Census Tract 1351.03, Cuyahoga County</t>
  </si>
  <si>
    <t>Census Tract 1351.04, Cuyahoga County</t>
  </si>
  <si>
    <t>Census Tract 1351.05, Cuyahoga County</t>
  </si>
  <si>
    <t>Census Tract 1351.06, Cuyahoga County</t>
  </si>
  <si>
    <t>Census Tract 1361.01, Cuyahoga County</t>
  </si>
  <si>
    <t>Census Tract 1361.03, Cuyahoga County</t>
  </si>
  <si>
    <t>Census Tract 1361.04, Cuyahoga County</t>
  </si>
  <si>
    <t>Census Tract 1361.05, Cuyahoga County</t>
  </si>
  <si>
    <t>Census Tract 1371.01, Cuyahoga County</t>
  </si>
  <si>
    <t>Census Tract 1371.02, Cuyahoga County</t>
  </si>
  <si>
    <t>Census Tract 1371.03, Cuyahoga County</t>
  </si>
  <si>
    <t>Census Tract 1381.05, Cuyahoga County</t>
  </si>
  <si>
    <t>Census Tract 1381.06, Cuyahoga County</t>
  </si>
  <si>
    <t>Census Tract 1381.07, Cuyahoga County</t>
  </si>
  <si>
    <t>Census Tract 1381.08, Cuyahoga County</t>
  </si>
  <si>
    <t>Census Tract 1381.09, Cuyahoga County</t>
  </si>
  <si>
    <t>Census Tract 1381.1, Cuyahoga County</t>
  </si>
  <si>
    <t>Census Tract 1401, Cuyahoga County</t>
  </si>
  <si>
    <t>Census Tract 1403.01, Cuyahoga County</t>
  </si>
  <si>
    <t>Census Tract 1403.02, Cuyahoga County</t>
  </si>
  <si>
    <t>Census Tract 1404, Cuyahoga County</t>
  </si>
  <si>
    <t>Census Tract 1405, Cuyahoga County</t>
  </si>
  <si>
    <t>Census Tract 1406, Cuyahoga County</t>
  </si>
  <si>
    <t>Census Tract 1407.01, Cuyahoga County</t>
  </si>
  <si>
    <t>Census Tract 1407.02, Cuyahoga County</t>
  </si>
  <si>
    <t>Census Tract 1408, Cuyahoga County</t>
  </si>
  <si>
    <t>Census Tract 1409, Cuyahoga County</t>
  </si>
  <si>
    <t>Census Tract 1410, Cuyahoga County</t>
  </si>
  <si>
    <t>Census Tract 1411, Cuyahoga County</t>
  </si>
  <si>
    <t>Census Tract 1412, Cuyahoga County</t>
  </si>
  <si>
    <t>Census Tract 1413, Cuyahoga County</t>
  </si>
  <si>
    <t>Census Tract 1414, Cuyahoga County</t>
  </si>
  <si>
    <t>Census Tract 1415, Cuyahoga County</t>
  </si>
  <si>
    <t>Census Tract 1416.01, Cuyahoga County</t>
  </si>
  <si>
    <t>Census Tract 1416.02, Cuyahoga County</t>
  </si>
  <si>
    <t>Census Tract 1417, Cuyahoga County</t>
  </si>
  <si>
    <t>Census Tract 1501, Cuyahoga County</t>
  </si>
  <si>
    <t>Census Tract 1503, Cuyahoga County</t>
  </si>
  <si>
    <t>Census Tract 1504, Cuyahoga County</t>
  </si>
  <si>
    <t>Census Tract 1512, Cuyahoga County</t>
  </si>
  <si>
    <t>Census Tract 1513, Cuyahoga County</t>
  </si>
  <si>
    <t>Census Tract 1515, Cuyahoga County</t>
  </si>
  <si>
    <t>Census Tract 1516, Cuyahoga County</t>
  </si>
  <si>
    <t>Census Tract 1517, Cuyahoga County</t>
  </si>
  <si>
    <t>Census Tract 1518, Cuyahoga County</t>
  </si>
  <si>
    <t>Census Tract 1521.01, Cuyahoga County</t>
  </si>
  <si>
    <t>Census Tract 1521.02, Cuyahoga County</t>
  </si>
  <si>
    <t>Census Tract 1522.01, Cuyahoga County</t>
  </si>
  <si>
    <t>Census Tract 1522.02, Cuyahoga County</t>
  </si>
  <si>
    <t>Census Tract 1523.01, Cuyahoga County</t>
  </si>
  <si>
    <t>Census Tract 1523.02, Cuyahoga County</t>
  </si>
  <si>
    <t>Census Tract 1523.03, Cuyahoga County</t>
  </si>
  <si>
    <t>Census Tract 1524, Cuyahoga County</t>
  </si>
  <si>
    <t>Census Tract 1525.01, Cuyahoga County</t>
  </si>
  <si>
    <t>Census Tract 1525.02, Cuyahoga County</t>
  </si>
  <si>
    <t>Census Tract 1526.05, Cuyahoga County</t>
  </si>
  <si>
    <t>Census Tract 1527.01, Cuyahoga County</t>
  </si>
  <si>
    <t>Census Tract 1527.02, Cuyahoga County</t>
  </si>
  <si>
    <t>Census Tract 1527.03, Cuyahoga County</t>
  </si>
  <si>
    <t>Census Tract 1531.03, Cuyahoga County</t>
  </si>
  <si>
    <t>Census Tract 1531.04, Cuyahoga County</t>
  </si>
  <si>
    <t>Census Tract 1531.05, Cuyahoga County</t>
  </si>
  <si>
    <t>Census Tract 1531.06, Cuyahoga County</t>
  </si>
  <si>
    <t>Census Tract 1531.07, Cuyahoga County</t>
  </si>
  <si>
    <t>Census Tract 1541, Cuyahoga County</t>
  </si>
  <si>
    <t>Census Tract 1542, Cuyahoga County</t>
  </si>
  <si>
    <t>Census Tract 1544, Cuyahoga County</t>
  </si>
  <si>
    <t>Census Tract 1545.01, Cuyahoga County</t>
  </si>
  <si>
    <t>Census Tract 1545.02, Cuyahoga County</t>
  </si>
  <si>
    <t>Census Tract 1546.01, Cuyahoga County</t>
  </si>
  <si>
    <t>Census Tract 1546.03, Cuyahoga County</t>
  </si>
  <si>
    <t>Census Tract 1546.04, Cuyahoga County</t>
  </si>
  <si>
    <t>Census Tract 1551.01, Cuyahoga County</t>
  </si>
  <si>
    <t>Census Tract 1551.02, Cuyahoga County</t>
  </si>
  <si>
    <t>Census Tract 1561.01, Cuyahoga County</t>
  </si>
  <si>
    <t>Census Tract 1561.02, Cuyahoga County</t>
  </si>
  <si>
    <t>Census Tract 1601, Cuyahoga County</t>
  </si>
  <si>
    <t>Census Tract 1602, Cuyahoga County</t>
  </si>
  <si>
    <t>Census Tract 1603, Cuyahoga County</t>
  </si>
  <si>
    <t>Census Tract 1604, Cuyahoga County</t>
  </si>
  <si>
    <t>Census Tract 1605, Cuyahoga County</t>
  </si>
  <si>
    <t>Census Tract 1606.02, Cuyahoga County</t>
  </si>
  <si>
    <t>Census Tract 1606.03, Cuyahoga County</t>
  </si>
  <si>
    <t>Census Tract 1606.04, Cuyahoga County</t>
  </si>
  <si>
    <t>Census Tract 1609, Cuyahoga County</t>
  </si>
  <si>
    <t>Census Tract 1610, Cuyahoga County</t>
  </si>
  <si>
    <t>Census Tract 1611, Cuyahoga County</t>
  </si>
  <si>
    <t>Census Tract 1612, Cuyahoga County</t>
  </si>
  <si>
    <t>Census Tract 1613, Cuyahoga County</t>
  </si>
  <si>
    <t>Census Tract 1614, Cuyahoga County</t>
  </si>
  <si>
    <t>Census Tract 1615, Cuyahoga County</t>
  </si>
  <si>
    <t>Census Tract 1616, Cuyahoga County</t>
  </si>
  <si>
    <t>Census Tract 1619, Cuyahoga County</t>
  </si>
  <si>
    <t>Census Tract 1701.01, Cuyahoga County</t>
  </si>
  <si>
    <t>Census Tract 1701.02, Cuyahoga County</t>
  </si>
  <si>
    <t>Census Tract 1702.01, Cuyahoga County</t>
  </si>
  <si>
    <t>Census Tract 1702.02, Cuyahoga County</t>
  </si>
  <si>
    <t>Census Tract 1711.02, Cuyahoga County</t>
  </si>
  <si>
    <t>Census Tract 1711.03, Cuyahoga County</t>
  </si>
  <si>
    <t>Census Tract 1711.04, Cuyahoga County</t>
  </si>
  <si>
    <t>Census Tract 1712.03, Cuyahoga County</t>
  </si>
  <si>
    <t>Census Tract 1712.04, Cuyahoga County</t>
  </si>
  <si>
    <t>Census Tract 1712.05, Cuyahoga County</t>
  </si>
  <si>
    <t>Census Tract 1712.06, Cuyahoga County</t>
  </si>
  <si>
    <t>Census Tract 1721.01, Cuyahoga County</t>
  </si>
  <si>
    <t>Census Tract 1721.02, Cuyahoga County</t>
  </si>
  <si>
    <t>Census Tract 1721.04, Cuyahoga County</t>
  </si>
  <si>
    <t>Census Tract 1721.05, Cuyahoga County</t>
  </si>
  <si>
    <t>Census Tract 1722.01, Cuyahoga County</t>
  </si>
  <si>
    <t>Census Tract 1722.02, Cuyahoga County</t>
  </si>
  <si>
    <t>Census Tract 1731.03, Cuyahoga County</t>
  </si>
  <si>
    <t>Census Tract 1731.04, Cuyahoga County</t>
  </si>
  <si>
    <t>Census Tract 1731.05, Cuyahoga County</t>
  </si>
  <si>
    <t>Census Tract 1731.06, Cuyahoga County</t>
  </si>
  <si>
    <t>Census Tract 1731.07, Cuyahoga County</t>
  </si>
  <si>
    <t>Census Tract 1741.03, Cuyahoga County</t>
  </si>
  <si>
    <t>Census Tract 1741.04, Cuyahoga County</t>
  </si>
  <si>
    <t>Census Tract 1741.05, Cuyahoga County</t>
  </si>
  <si>
    <t>Census Tract 1741.06, Cuyahoga County</t>
  </si>
  <si>
    <t>Census Tract 1741.07, Cuyahoga County</t>
  </si>
  <si>
    <t>Census Tract 1742.03, Cuyahoga County</t>
  </si>
  <si>
    <t>Census Tract 1742.04, Cuyahoga County</t>
  </si>
  <si>
    <t>Census Tract 1742.05, Cuyahoga County</t>
  </si>
  <si>
    <t>Census Tract 1742.06, Cuyahoga County</t>
  </si>
  <si>
    <t>Census Tract 1742.07, Cuyahoga County</t>
  </si>
  <si>
    <t>Census Tract 1751.05, Cuyahoga County</t>
  </si>
  <si>
    <t>Census Tract 1751.06, Cuyahoga County</t>
  </si>
  <si>
    <t>Census Tract 1751.07, Cuyahoga County</t>
  </si>
  <si>
    <t>Census Tract 1751.08, Cuyahoga County</t>
  </si>
  <si>
    <t>Census Tract 1751.09, Cuyahoga County</t>
  </si>
  <si>
    <t>Census Tract 1751.1, Cuyahoga County</t>
  </si>
  <si>
    <t>Census Tract 1752.01, Cuyahoga County</t>
  </si>
  <si>
    <t>Census Tract 1752.02, Cuyahoga County</t>
  </si>
  <si>
    <t>Census Tract 1761, Cuyahoga County</t>
  </si>
  <si>
    <t>Census Tract 1762, Cuyahoga County</t>
  </si>
  <si>
    <t>Census Tract 1771.01, Cuyahoga County</t>
  </si>
  <si>
    <t>Census Tract 1771.03, Cuyahoga County</t>
  </si>
  <si>
    <t>Census Tract 1771.04, Cuyahoga County</t>
  </si>
  <si>
    <t>Census Tract 1772.01, Cuyahoga County</t>
  </si>
  <si>
    <t>Census Tract 1772.02, Cuyahoga County</t>
  </si>
  <si>
    <t>Census Tract 1773.02, Cuyahoga County</t>
  </si>
  <si>
    <t>Census Tract 1773.03, Cuyahoga County</t>
  </si>
  <si>
    <t>Census Tract 1773.04, Cuyahoga County</t>
  </si>
  <si>
    <t>Census Tract 1774.03, Cuyahoga County</t>
  </si>
  <si>
    <t>Census Tract 1774.04, Cuyahoga County</t>
  </si>
  <si>
    <t>Census Tract 1774.05, Cuyahoga County</t>
  </si>
  <si>
    <t>Census Tract 1774.06, Cuyahoga County</t>
  </si>
  <si>
    <t>Census Tract 1775.01, Cuyahoga County</t>
  </si>
  <si>
    <t>Census Tract 1775.03, Cuyahoga County</t>
  </si>
  <si>
    <t>Census Tract 1775.04, Cuyahoga County</t>
  </si>
  <si>
    <t>Census Tract 1775.05, Cuyahoga County</t>
  </si>
  <si>
    <t>Census Tract 1776.04, Cuyahoga County</t>
  </si>
  <si>
    <t>Census Tract 1776.05, Cuyahoga County</t>
  </si>
  <si>
    <t>Census Tract 1776.06, Cuyahoga County</t>
  </si>
  <si>
    <t>Census Tract 1776.07, Cuyahoga County</t>
  </si>
  <si>
    <t>Census Tract 1776.08, Cuyahoga County</t>
  </si>
  <si>
    <t>Census Tract 1776.09, Cuyahoga County</t>
  </si>
  <si>
    <t>Census Tract 1781.01, Cuyahoga County</t>
  </si>
  <si>
    <t>Census Tract 1781.02, Cuyahoga County</t>
  </si>
  <si>
    <t>Census Tract 1782.01, Cuyahoga County</t>
  </si>
  <si>
    <t>Census Tract 1782.04, Cuyahoga County</t>
  </si>
  <si>
    <t>Census Tract 1782.05, Cuyahoga County</t>
  </si>
  <si>
    <t>Census Tract 1782.06, Cuyahoga County</t>
  </si>
  <si>
    <t>Census Tract 1791.01, Cuyahoga County</t>
  </si>
  <si>
    <t>Census Tract 1791.02, Cuyahoga County</t>
  </si>
  <si>
    <t>Census Tract 1801.02, Cuyahoga County</t>
  </si>
  <si>
    <t>Census Tract 1801.03, Cuyahoga County</t>
  </si>
  <si>
    <t>Census Tract 1801.04, Cuyahoga County</t>
  </si>
  <si>
    <t>Census Tract 1811, Cuyahoga County</t>
  </si>
  <si>
    <t>Census Tract 1812.01, Cuyahoga County</t>
  </si>
  <si>
    <t>Census Tract 1812.03, Cuyahoga County</t>
  </si>
  <si>
    <t>Census Tract 1812.04, Cuyahoga County</t>
  </si>
  <si>
    <t>Census Tract 1821.03, Cuyahoga County</t>
  </si>
  <si>
    <t>Census Tract 1821.04, Cuyahoga County</t>
  </si>
  <si>
    <t>Census Tract 1821.05, Cuyahoga County</t>
  </si>
  <si>
    <t>Census Tract 1821.06, Cuyahoga County</t>
  </si>
  <si>
    <t>Census Tract 1831, Cuyahoga County</t>
  </si>
  <si>
    <t>Census Tract 1832, Cuyahoga County</t>
  </si>
  <si>
    <t>Census Tract 1833, Cuyahoga County</t>
  </si>
  <si>
    <t>Census Tract 1834.01, Cuyahoga County</t>
  </si>
  <si>
    <t>Census Tract 1834.02, Cuyahoga County</t>
  </si>
  <si>
    <t>Census Tract 1835.01, Cuyahoga County</t>
  </si>
  <si>
    <t>Census Tract 1835.02, Cuyahoga County</t>
  </si>
  <si>
    <t>Census Tract 1836.03, Cuyahoga County</t>
  </si>
  <si>
    <t>Census Tract 1836.04, Cuyahoga County</t>
  </si>
  <si>
    <t>Census Tract 1836.05, Cuyahoga County</t>
  </si>
  <si>
    <t>Census Tract 1836.06, Cuyahoga County</t>
  </si>
  <si>
    <t>Census Tract 1841.03, Cuyahoga County</t>
  </si>
  <si>
    <t>Census Tract 1841.04, Cuyahoga County</t>
  </si>
  <si>
    <t>Census Tract 1841.05, Cuyahoga County</t>
  </si>
  <si>
    <t>Census Tract 1841.06, Cuyahoga County</t>
  </si>
  <si>
    <t>Census Tract 1841.08, Cuyahoga County</t>
  </si>
  <si>
    <t>Census Tract 1851.01, Cuyahoga County</t>
  </si>
  <si>
    <t>Census Tract 1851.02, Cuyahoga County</t>
  </si>
  <si>
    <t>Census Tract 1851.03, Cuyahoga County</t>
  </si>
  <si>
    <t>Census Tract 1851.04, Cuyahoga County</t>
  </si>
  <si>
    <t>Census Tract 1852.01, Cuyahoga County</t>
  </si>
  <si>
    <t>Census Tract 1852.02, Cuyahoga County</t>
  </si>
  <si>
    <t>Census Tract 1852.03, Cuyahoga County</t>
  </si>
  <si>
    <t>Census Tract 1861.03, Cuyahoga County</t>
  </si>
  <si>
    <t>Census Tract 1861.04, Cuyahoga County</t>
  </si>
  <si>
    <t>Census Tract 1861.05, Cuyahoga County</t>
  </si>
  <si>
    <t>Census Tract 1861.06, Cuyahoga County</t>
  </si>
  <si>
    <t>Census Tract 1861.07, Cuyahoga County</t>
  </si>
  <si>
    <t>Census Tract 1862.01, Cuyahoga County</t>
  </si>
  <si>
    <t>Census Tract 1862.02, Cuyahoga County</t>
  </si>
  <si>
    <t>Census Tract 1862.03, Cuyahoga County</t>
  </si>
  <si>
    <t>Census Tract 1862.05, Cuyahoga County</t>
  </si>
  <si>
    <t>Census Tract 1862.06, Cuyahoga County</t>
  </si>
  <si>
    <t>Census Tract 1871.03, Cuyahoga County</t>
  </si>
  <si>
    <t>Census Tract 1871.04, Cuyahoga County</t>
  </si>
  <si>
    <t>Census Tract 1871.05, Cuyahoga County</t>
  </si>
  <si>
    <t>Census Tract 1871.06, Cuyahoga County</t>
  </si>
  <si>
    <t>Census Tract 1881.03, Cuyahoga County</t>
  </si>
  <si>
    <t>Census Tract 1881.06, Cuyahoga County</t>
  </si>
  <si>
    <t>Census Tract 1881.07, Cuyahoga County</t>
  </si>
  <si>
    <t>Census Tract 1891.05, Cuyahoga County</t>
  </si>
  <si>
    <t>Census Tract 1891.07, Cuyahoga County</t>
  </si>
  <si>
    <t>Census Tract 1891.08, Cuyahoga County</t>
  </si>
  <si>
    <t>Census Tract 1891.09, Cuyahoga County</t>
  </si>
  <si>
    <t>Census Tract 1891.1, Cuyahoga County</t>
  </si>
  <si>
    <t>Census Tract 1891.11, Cuyahoga County</t>
  </si>
  <si>
    <t>Census Tract 1891.12, Cuyahoga County</t>
  </si>
  <si>
    <t>Census Tract 1905.02, Cuyahoga County</t>
  </si>
  <si>
    <t>Census Tract 1905.03, Cuyahoga County</t>
  </si>
  <si>
    <t>Census Tract 1905.05, Cuyahoga County</t>
  </si>
  <si>
    <t>Census Tract 1905.06, Cuyahoga County</t>
  </si>
  <si>
    <t>Census Tract 1923, Cuyahoga County</t>
  </si>
  <si>
    <t>Census Tract 1928, Cuyahoga County</t>
  </si>
  <si>
    <t>Census Tract 1929, Cuyahoga County</t>
  </si>
  <si>
    <t>Census Tract 1941, Cuyahoga County</t>
  </si>
  <si>
    <t>Census Tract 1943, Cuyahoga County</t>
  </si>
  <si>
    <t>Census Tract 1945, Cuyahoga County</t>
  </si>
  <si>
    <t>Census Tract 1956, Cuyahoga County</t>
  </si>
  <si>
    <t>Census Tract 1957, Cuyahoga County</t>
  </si>
  <si>
    <t>Census Tract 1958, Cuyahoga County</t>
  </si>
  <si>
    <t>Census Tract 1959, Cuyahoga County</t>
  </si>
  <si>
    <t>Census Tract 1960, Cuyahoga County</t>
  </si>
  <si>
    <t>Census Tract 1961, Cuyahoga County</t>
  </si>
  <si>
    <t>Census Tract 1962, Cuyahoga County</t>
  </si>
  <si>
    <t>Census Tract 1963, Cuyahoga County</t>
  </si>
  <si>
    <t>Census Tract 1964, Cuyahoga County</t>
  </si>
  <si>
    <t>Census Tract 1968, Cuyahoga County</t>
  </si>
  <si>
    <t>Census Tract 1970, Cuyahoga County</t>
  </si>
  <si>
    <t>Census Tract 1971, Cuyahoga County</t>
  </si>
  <si>
    <t>Census Tract 1972, Cuyahoga County</t>
  </si>
  <si>
    <t>Census Tract 1973, Cuyahoga County</t>
  </si>
  <si>
    <t>Census Tract 1974, Cuyahoga County</t>
  </si>
  <si>
    <t>Census Tract 1975, Cuyahoga County</t>
  </si>
  <si>
    <t>Census Tract 1976, Cuyahoga County</t>
  </si>
  <si>
    <t>Census Tract 1977, Cuyahoga County</t>
  </si>
  <si>
    <t>Census Tract 1978, Cuyahoga County</t>
  </si>
  <si>
    <t>Census Tract 1979, Cuyahoga County</t>
  </si>
  <si>
    <t>Census Tract 1980, Cuyahoga County</t>
  </si>
  <si>
    <t>Census Tract 1981, Cuyahoga County</t>
  </si>
  <si>
    <t>Census Tract 1982, Cuyahoga County</t>
  </si>
  <si>
    <t>Census Tract 1983, Cuyahoga County</t>
  </si>
  <si>
    <t>Census Tract 1984, Cuyahoga County</t>
  </si>
  <si>
    <t>Census Tract 1985, Cuyahoga County</t>
  </si>
  <si>
    <t>Census Tract 1986, Cuyahoga County</t>
  </si>
  <si>
    <t>Census Tract 1987, Cuyahoga County</t>
  </si>
  <si>
    <t>Census Tract 1988, Cuyahoga County</t>
  </si>
  <si>
    <t>Census Tract 1989, Cuyahoga County</t>
  </si>
  <si>
    <t>Census Tract 1990, Cuyahoga County</t>
  </si>
  <si>
    <t>Census Tract 1991, Cuyahoga County</t>
  </si>
  <si>
    <t>Census Tract 1992, Cuyahoga County</t>
  </si>
  <si>
    <t>Census Tract 1993, Cuyahoga County</t>
  </si>
  <si>
    <t>Census Tract 9801, Cuyahoga County</t>
  </si>
  <si>
    <t>Census Tract 9802, Cuyahoga County</t>
  </si>
  <si>
    <t>Census Tract 9805, Cuyahoga County</t>
  </si>
  <si>
    <t>Census Tract 9809, Cuyahoga County</t>
  </si>
  <si>
    <t>Census Tract 9810, Cuyahoga County</t>
  </si>
  <si>
    <t>Census Tract 9811, Cuyahoga County</t>
  </si>
  <si>
    <t>Census Tract 9900, Cuyahoga County</t>
  </si>
  <si>
    <t>Census Tract 5001, Darke County</t>
  </si>
  <si>
    <t>Census Tract 5101, Darke County</t>
  </si>
  <si>
    <t>Census Tract 5201, Darke County</t>
  </si>
  <si>
    <t>Census Tract 5301, Darke County</t>
  </si>
  <si>
    <t>Census Tract 5401, Darke County</t>
  </si>
  <si>
    <t>Census Tract 5501, Darke County</t>
  </si>
  <si>
    <t>Census Tract 5550.01, Darke County</t>
  </si>
  <si>
    <t>Census Tract 5550.02, Darke County</t>
  </si>
  <si>
    <t>Census Tract 5551.01, Darke County</t>
  </si>
  <si>
    <t>Census Tract 5551.02, Darke County</t>
  </si>
  <si>
    <t>Census Tract 5601.01, Darke County</t>
  </si>
  <si>
    <t>Census Tract 5601.02, Darke County</t>
  </si>
  <si>
    <t>Census Tract 5701.01, Darke County</t>
  </si>
  <si>
    <t>Census Tract 5701.02, Darke County</t>
  </si>
  <si>
    <t>Census Tract 9581, Defiance County</t>
  </si>
  <si>
    <t>Census Tract 9582, Defiance County</t>
  </si>
  <si>
    <t>Census Tract 9583, Defiance County</t>
  </si>
  <si>
    <t>Census Tract 9584, Defiance County</t>
  </si>
  <si>
    <t>Census Tract 9585, Defiance County</t>
  </si>
  <si>
    <t>Census Tract 9586, Defiance County</t>
  </si>
  <si>
    <t>Census Tract 9587, Defiance County</t>
  </si>
  <si>
    <t>Census Tract 9588, Defiance County</t>
  </si>
  <si>
    <t>Census Tract 9589, Defiance County</t>
  </si>
  <si>
    <t>Census Tract 101, Delaware County</t>
  </si>
  <si>
    <t>Census Tract 102, Delaware County</t>
  </si>
  <si>
    <t>Census Tract 104.2, Delaware County</t>
  </si>
  <si>
    <t>Census Tract 104.21, Delaware County</t>
  </si>
  <si>
    <t>Census Tract 104.22, Delaware County</t>
  </si>
  <si>
    <t>Census Tract 105.2, Delaware County</t>
  </si>
  <si>
    <t>Census Tract 105.3, Delaware County</t>
  </si>
  <si>
    <t>Census Tract 111.01, Delaware County</t>
  </si>
  <si>
    <t>Census Tract 111.02, Delaware County</t>
  </si>
  <si>
    <t>Census Tract 112, Delaware County</t>
  </si>
  <si>
    <t>Census Tract 114.11, Delaware County</t>
  </si>
  <si>
    <t>Census Tract 114.12, Delaware County</t>
  </si>
  <si>
    <t>Census Tract 114.21, Delaware County</t>
  </si>
  <si>
    <t>Census Tract 114.23, Delaware County</t>
  </si>
  <si>
    <t>Census Tract 114.3, Delaware County</t>
  </si>
  <si>
    <t>Census Tract 114.31, Delaware County</t>
  </si>
  <si>
    <t>Census Tract 114.32, Delaware County</t>
  </si>
  <si>
    <t>Census Tract 115.2, Delaware County</t>
  </si>
  <si>
    <t>Census Tract 115.3, Delaware County</t>
  </si>
  <si>
    <t>Census Tract 115.4, Delaware County</t>
  </si>
  <si>
    <t>Census Tract 115.61, Delaware County</t>
  </si>
  <si>
    <t>Census Tract 115.62, Delaware County</t>
  </si>
  <si>
    <t>Census Tract 115.63, Delaware County</t>
  </si>
  <si>
    <t>Census Tract 115.64, Delaware County</t>
  </si>
  <si>
    <t>Census Tract 115.65, Delaware County</t>
  </si>
  <si>
    <t>Census Tract 116.04, Delaware County</t>
  </si>
  <si>
    <t>Census Tract 117.1, Delaware County</t>
  </si>
  <si>
    <t>Census Tract 117.4, Delaware County</t>
  </si>
  <si>
    <t>Census Tract 117.6, Delaware County</t>
  </si>
  <si>
    <t>Census Tract 117.62, Delaware County</t>
  </si>
  <si>
    <t>Census Tract 117.63, Delaware County</t>
  </si>
  <si>
    <t>Census Tract 117.64, Delaware County</t>
  </si>
  <si>
    <t>Census Tract 117.65, Delaware County</t>
  </si>
  <si>
    <t>Census Tract 117.66, Delaware County</t>
  </si>
  <si>
    <t>Census Tract 119, Delaware County</t>
  </si>
  <si>
    <t>Census Tract 120, Delaware County</t>
  </si>
  <si>
    <t>Census Tract 121, Delaware County</t>
  </si>
  <si>
    <t>Census Tract 122, Delaware County</t>
  </si>
  <si>
    <t>Census Tract 123, Delaware County</t>
  </si>
  <si>
    <t>Census Tract 124, Delaware County</t>
  </si>
  <si>
    <t>Census Tract 401, Erie County</t>
  </si>
  <si>
    <t>Census Tract 402, Erie County</t>
  </si>
  <si>
    <t>Census Tract 403, Erie County</t>
  </si>
  <si>
    <t>Census Tract 404, Erie County</t>
  </si>
  <si>
    <t>Census Tract 405, Erie County</t>
  </si>
  <si>
    <t>Census Tract 407, Erie County</t>
  </si>
  <si>
    <t>Census Tract 408.01, Erie County</t>
  </si>
  <si>
    <t>Census Tract 408.02, Erie County</t>
  </si>
  <si>
    <t>Census Tract 409, Erie County</t>
  </si>
  <si>
    <t>Census Tract 410, Erie County</t>
  </si>
  <si>
    <t>Census Tract 411, Erie County</t>
  </si>
  <si>
    <t>Census Tract 412, Erie County</t>
  </si>
  <si>
    <t>Census Tract 413, Erie County</t>
  </si>
  <si>
    <t>Census Tract 414, Erie County</t>
  </si>
  <si>
    <t>Census Tract 416, Erie County</t>
  </si>
  <si>
    <t>Census Tract 417.01, Erie County</t>
  </si>
  <si>
    <t>Census Tract 417.02, Erie County</t>
  </si>
  <si>
    <t>Census Tract 418, Erie County</t>
  </si>
  <si>
    <t>Census Tract 419, Erie County</t>
  </si>
  <si>
    <t>Census Tract 9901, Erie County</t>
  </si>
  <si>
    <t>Census Tract 301, Fairfield County</t>
  </si>
  <si>
    <t>Census Tract 302, Fairfield County</t>
  </si>
  <si>
    <t>Census Tract 303, Fairfield County</t>
  </si>
  <si>
    <t>Census Tract 304, Fairfield County</t>
  </si>
  <si>
    <t>Census Tract 306.01, Fairfield County</t>
  </si>
  <si>
    <t>Census Tract 306.02, Fairfield County</t>
  </si>
  <si>
    <t>Census Tract 307, Fairfield County</t>
  </si>
  <si>
    <t>Census Tract 308, Fairfield County</t>
  </si>
  <si>
    <t>Census Tract 309.01, Fairfield County</t>
  </si>
  <si>
    <t>Census Tract 309.02, Fairfield County</t>
  </si>
  <si>
    <t>Census Tract 310, Fairfield County</t>
  </si>
  <si>
    <t>Census Tract 311, Fairfield County</t>
  </si>
  <si>
    <t>Census Tract 312, Fairfield County</t>
  </si>
  <si>
    <t>Census Tract 313, Fairfield County</t>
  </si>
  <si>
    <t>Census Tract 314.01, Fairfield County</t>
  </si>
  <si>
    <t>Census Tract 314.02, Fairfield County</t>
  </si>
  <si>
    <t>Census Tract 315, Fairfield County</t>
  </si>
  <si>
    <t>Census Tract 316, Fairfield County</t>
  </si>
  <si>
    <t>Census Tract 317, Fairfield County</t>
  </si>
  <si>
    <t>Census Tract 320, Fairfield County</t>
  </si>
  <si>
    <t>Census Tract 321, Fairfield County</t>
  </si>
  <si>
    <t>Census Tract 322, Fairfield County</t>
  </si>
  <si>
    <t>Census Tract 323, Fairfield County</t>
  </si>
  <si>
    <t>Census Tract 325.01, Fairfield County</t>
  </si>
  <si>
    <t>Census Tract 325.02, Fairfield County</t>
  </si>
  <si>
    <t>Census Tract 326.01, Fairfield County</t>
  </si>
  <si>
    <t>Census Tract 326.02, Fairfield County</t>
  </si>
  <si>
    <t>Census Tract 327.01, Fairfield County</t>
  </si>
  <si>
    <t>Census Tract 327.03, Fairfield County</t>
  </si>
  <si>
    <t>Census Tract 327.04, Fairfield County</t>
  </si>
  <si>
    <t>Census Tract 328, Fairfield County</t>
  </si>
  <si>
    <t>Census Tract 329.01, Fairfield County</t>
  </si>
  <si>
    <t>Census Tract 329.02, Fairfield County</t>
  </si>
  <si>
    <t>Census Tract 330, Fairfield County</t>
  </si>
  <si>
    <t>Census Tract 331.01, Fairfield County</t>
  </si>
  <si>
    <t>Census Tract 331.02, Fairfield County</t>
  </si>
  <si>
    <t>Census Tract 9258, Fayette County</t>
  </si>
  <si>
    <t>Census Tract 9259, Fayette County</t>
  </si>
  <si>
    <t>Census Tract 9260, Fayette County</t>
  </si>
  <si>
    <t>Census Tract 9261, Fayette County</t>
  </si>
  <si>
    <t>Census Tract 9262, Fayette County</t>
  </si>
  <si>
    <t>Census Tract 9263, Fayette County</t>
  </si>
  <si>
    <t>Census Tract 9264, Fayette County</t>
  </si>
  <si>
    <t>Census Tract 1.1, Franklin County</t>
  </si>
  <si>
    <t>Census Tract 1.2, Franklin County</t>
  </si>
  <si>
    <t>Census Tract 2.1, Franklin County</t>
  </si>
  <si>
    <t>Census Tract 2.2, Franklin County</t>
  </si>
  <si>
    <t>Census Tract 3.1, Franklin County</t>
  </si>
  <si>
    <t>Census Tract 3.2, Franklin County</t>
  </si>
  <si>
    <t>Census Tract 3.3, Franklin County</t>
  </si>
  <si>
    <t>Census Tract 4.1, Franklin County</t>
  </si>
  <si>
    <t>Census Tract 4.2, Franklin County</t>
  </si>
  <si>
    <t>Census Tract 5, Franklin County</t>
  </si>
  <si>
    <t>Census Tract 6, Franklin County</t>
  </si>
  <si>
    <t>Census Tract 7.1, Franklin County</t>
  </si>
  <si>
    <t>Census Tract 7.2, Franklin County</t>
  </si>
  <si>
    <t>Census Tract 7.3, Franklin County</t>
  </si>
  <si>
    <t>Census Tract 8.1, Franklin County</t>
  </si>
  <si>
    <t>Census Tract 8.2, Franklin County</t>
  </si>
  <si>
    <t>Census Tract 9.1, Franklin County</t>
  </si>
  <si>
    <t>Census Tract 9.2, Franklin County</t>
  </si>
  <si>
    <t>Census Tract 10, Franklin County</t>
  </si>
  <si>
    <t>Census Tract 11.1, Franklin County</t>
  </si>
  <si>
    <t>Census Tract 11.21, Franklin County</t>
  </si>
  <si>
    <t>Census Tract 11.22, Franklin County</t>
  </si>
  <si>
    <t>Census Tract 12, Franklin County</t>
  </si>
  <si>
    <t>Census Tract 13.01, Franklin County</t>
  </si>
  <si>
    <t>Census Tract 13.02, Franklin County</t>
  </si>
  <si>
    <t>Census Tract 14, Franklin County</t>
  </si>
  <si>
    <t>Census Tract 15, Franklin County</t>
  </si>
  <si>
    <t>Census Tract 16, Franklin County</t>
  </si>
  <si>
    <t>Census Tract 17, Franklin County</t>
  </si>
  <si>
    <t>Census Tract 18.1, Franklin County</t>
  </si>
  <si>
    <t>Census Tract 18.2, Franklin County</t>
  </si>
  <si>
    <t>Census Tract 19.01, Franklin County</t>
  </si>
  <si>
    <t>Census Tract 19.02, Franklin County</t>
  </si>
  <si>
    <t>Census Tract 20, Franklin County</t>
  </si>
  <si>
    <t>Census Tract 21, Franklin County</t>
  </si>
  <si>
    <t>Census Tract 22, Franklin County</t>
  </si>
  <si>
    <t>Census Tract 23, Franklin County</t>
  </si>
  <si>
    <t>Census Tract 25.1, Franklin County</t>
  </si>
  <si>
    <t>Census Tract 25.2, Franklin County</t>
  </si>
  <si>
    <t>Census Tract 26, Franklin County</t>
  </si>
  <si>
    <t>Census Tract 27.1, Franklin County</t>
  </si>
  <si>
    <t>Census Tract 27.3, Franklin County</t>
  </si>
  <si>
    <t>Census Tract 27.4, Franklin County</t>
  </si>
  <si>
    <t>Census Tract 27.5, Franklin County</t>
  </si>
  <si>
    <t>Census Tract 27.6, Franklin County</t>
  </si>
  <si>
    <t>Census Tract 27.7, Franklin County</t>
  </si>
  <si>
    <t>Census Tract 27.8, Franklin County</t>
  </si>
  <si>
    <t>Census Tract 28, Franklin County</t>
  </si>
  <si>
    <t>Census Tract 29, Franklin County</t>
  </si>
  <si>
    <t>Census Tract 30, Franklin County</t>
  </si>
  <si>
    <t>Census Tract 32, Franklin County</t>
  </si>
  <si>
    <t>Census Tract 36, Franklin County</t>
  </si>
  <si>
    <t>Census Tract 37, Franklin County</t>
  </si>
  <si>
    <t>Census Tract 38, Franklin County</t>
  </si>
  <si>
    <t>Census Tract 40.01, Franklin County</t>
  </si>
  <si>
    <t>Census Tract 40.02, Franklin County</t>
  </si>
  <si>
    <t>Census Tract 42, Franklin County</t>
  </si>
  <si>
    <t>Census Tract 43.01, Franklin County</t>
  </si>
  <si>
    <t>Census Tract 43.02, Franklin County</t>
  </si>
  <si>
    <t>Census Tract 45, Franklin County</t>
  </si>
  <si>
    <t>Census Tract 46.1, Franklin County</t>
  </si>
  <si>
    <t>Census Tract 46.2, Franklin County</t>
  </si>
  <si>
    <t>Census Tract 47, Franklin County</t>
  </si>
  <si>
    <t>Census Tract 48.1, Franklin County</t>
  </si>
  <si>
    <t>Census Tract 48.2, Franklin County</t>
  </si>
  <si>
    <t>Census Tract 49, Franklin County</t>
  </si>
  <si>
    <t>Census Tract 50.01, Franklin County</t>
  </si>
  <si>
    <t>Census Tract 50.02, Franklin County</t>
  </si>
  <si>
    <t>Census Tract 51, Franklin County</t>
  </si>
  <si>
    <t>Census Tract 52, Franklin County</t>
  </si>
  <si>
    <t>Census Tract 53, Franklin County</t>
  </si>
  <si>
    <t>Census Tract 54.1, Franklin County</t>
  </si>
  <si>
    <t>Census Tract 54.2, Franklin County</t>
  </si>
  <si>
    <t>Census Tract 55, Franklin County</t>
  </si>
  <si>
    <t>Census Tract 56.1, Franklin County</t>
  </si>
  <si>
    <t>Census Tract 56.2, Franklin County</t>
  </si>
  <si>
    <t>Census Tract 57, Franklin County</t>
  </si>
  <si>
    <t>Census Tract 58.1, Franklin County</t>
  </si>
  <si>
    <t>Census Tract 58.2, Franklin County</t>
  </si>
  <si>
    <t>Census Tract 59, Franklin County</t>
  </si>
  <si>
    <t>Census Tract 60, Franklin County</t>
  </si>
  <si>
    <t>Census Tract 61, Franklin County</t>
  </si>
  <si>
    <t>Census Tract 62.36, Franklin County</t>
  </si>
  <si>
    <t>Census Tract 62.37, Franklin County</t>
  </si>
  <si>
    <t>Census Tract 62.38, Franklin County</t>
  </si>
  <si>
    <t>Census Tract 62.39, Franklin County</t>
  </si>
  <si>
    <t>Census Tract 62.4, Franklin County</t>
  </si>
  <si>
    <t>Census Tract 62.41, Franklin County</t>
  </si>
  <si>
    <t>Census Tract 63.01, Franklin County</t>
  </si>
  <si>
    <t>Census Tract 63.02, Franklin County</t>
  </si>
  <si>
    <t>Census Tract 63.1, Franklin County</t>
  </si>
  <si>
    <t>Census Tract 63.21, Franklin County</t>
  </si>
  <si>
    <t>Census Tract 63.23, Franklin County</t>
  </si>
  <si>
    <t>Census Tract 63.3, Franklin County</t>
  </si>
  <si>
    <t>Census Tract 63.4, Franklin County</t>
  </si>
  <si>
    <t>Census Tract 63.51, Franklin County</t>
  </si>
  <si>
    <t>Census Tract 63.52, Franklin County</t>
  </si>
  <si>
    <t>Census Tract 63.53, Franklin County</t>
  </si>
  <si>
    <t>Census Tract 63.72, Franklin County</t>
  </si>
  <si>
    <t>Census Tract 63.84, Franklin County</t>
  </si>
  <si>
    <t>Census Tract 63.86, Franklin County</t>
  </si>
  <si>
    <t>Census Tract 63.87, Franklin County</t>
  </si>
  <si>
    <t>Census Tract 63.91, Franklin County</t>
  </si>
  <si>
    <t>Census Tract 63.92, Franklin County</t>
  </si>
  <si>
    <t>Census Tract 63.93, Franklin County</t>
  </si>
  <si>
    <t>Census Tract 63.94, Franklin County</t>
  </si>
  <si>
    <t>Census Tract 63.95, Franklin County</t>
  </si>
  <si>
    <t>Census Tract 63.96, Franklin County</t>
  </si>
  <si>
    <t>Census Tract 63.97, Franklin County</t>
  </si>
  <si>
    <t>Census Tract 63.98, Franklin County</t>
  </si>
  <si>
    <t>Census Tract 64.1, Franklin County</t>
  </si>
  <si>
    <t>Census Tract 64.3, Franklin County</t>
  </si>
  <si>
    <t>Census Tract 65, Franklin County</t>
  </si>
  <si>
    <t>Census Tract 66, Franklin County</t>
  </si>
  <si>
    <t>Census Tract 67.1, Franklin County</t>
  </si>
  <si>
    <t>Census Tract 67.21, Franklin County</t>
  </si>
  <si>
    <t>Census Tract 67.22, Franklin County</t>
  </si>
  <si>
    <t>Census Tract 68.1, Franklin County</t>
  </si>
  <si>
    <t>Census Tract 68.21, Franklin County</t>
  </si>
  <si>
    <t>Census Tract 68.22, Franklin County</t>
  </si>
  <si>
    <t>Census Tract 69.1, Franklin County</t>
  </si>
  <si>
    <t>Census Tract 69.21, Franklin County</t>
  </si>
  <si>
    <t>Census Tract 69.23, Franklin County</t>
  </si>
  <si>
    <t>Census Tract 69.24, Franklin County</t>
  </si>
  <si>
    <t>Census Tract 69.31, Franklin County</t>
  </si>
  <si>
    <t>Census Tract 69.32, Franklin County</t>
  </si>
  <si>
    <t>Census Tract 69.33, Franklin County</t>
  </si>
  <si>
    <t>Census Tract 69.43, Franklin County</t>
  </si>
  <si>
    <t>Census Tract 69.44, Franklin County</t>
  </si>
  <si>
    <t>Census Tract 69.45, Franklin County</t>
  </si>
  <si>
    <t>Census Tract 69.5, Franklin County</t>
  </si>
  <si>
    <t>Census Tract 69.91, Franklin County</t>
  </si>
  <si>
    <t>Census Tract 69.92, Franklin County</t>
  </si>
  <si>
    <t>Census Tract 70.1, Franklin County</t>
  </si>
  <si>
    <t>Census Tract 70.2, Franklin County</t>
  </si>
  <si>
    <t>Census Tract 70.41, Franklin County</t>
  </si>
  <si>
    <t>Census Tract 70.43, Franklin County</t>
  </si>
  <si>
    <t>Census Tract 70.44, Franklin County</t>
  </si>
  <si>
    <t>Census Tract 70.47, Franklin County</t>
  </si>
  <si>
    <t>Census Tract 70.48, Franklin County</t>
  </si>
  <si>
    <t>Census Tract 71.01, Franklin County</t>
  </si>
  <si>
    <t>Census Tract 71.02, Franklin County</t>
  </si>
  <si>
    <t>Census Tract 71.03, Franklin County</t>
  </si>
  <si>
    <t>Census Tract 71.12, Franklin County</t>
  </si>
  <si>
    <t>Census Tract 71.13, Franklin County</t>
  </si>
  <si>
    <t>Census Tract 71.14, Franklin County</t>
  </si>
  <si>
    <t>Census Tract 71.15, Franklin County</t>
  </si>
  <si>
    <t>Census Tract 71.2, Franklin County</t>
  </si>
  <si>
    <t>Census Tract 71.93, Franklin County</t>
  </si>
  <si>
    <t>Census Tract 71.98, Franklin County</t>
  </si>
  <si>
    <t>Census Tract 71.99, Franklin County</t>
  </si>
  <si>
    <t>Census Tract 72.02, Franklin County</t>
  </si>
  <si>
    <t>Census Tract 72.05, Franklin County</t>
  </si>
  <si>
    <t>Census Tract 72.09, Franklin County</t>
  </si>
  <si>
    <t>Census Tract 72.11, Franklin County</t>
  </si>
  <si>
    <t>Census Tract 72.12, Franklin County</t>
  </si>
  <si>
    <t>Census Tract 72.13, Franklin County</t>
  </si>
  <si>
    <t>Census Tract 72.14, Franklin County</t>
  </si>
  <si>
    <t>Census Tract 72.15, Franklin County</t>
  </si>
  <si>
    <t>Census Tract 73.01, Franklin County</t>
  </si>
  <si>
    <t>Census Tract 73.02, Franklin County</t>
  </si>
  <si>
    <t>Census Tract 73.03, Franklin County</t>
  </si>
  <si>
    <t>Census Tract 73.05, Franklin County</t>
  </si>
  <si>
    <t>Census Tract 73.06, Franklin County</t>
  </si>
  <si>
    <t>Census Tract 73.94, Franklin County</t>
  </si>
  <si>
    <t>Census Tract 73.97, Franklin County</t>
  </si>
  <si>
    <t>Census Tract 73.98, Franklin County</t>
  </si>
  <si>
    <t>Census Tract 74.24, Franklin County</t>
  </si>
  <si>
    <t>Census Tract 74.25, Franklin County</t>
  </si>
  <si>
    <t>Census Tract 74.26, Franklin County</t>
  </si>
  <si>
    <t>Census Tract 74.27, Franklin County</t>
  </si>
  <si>
    <t>Census Tract 74.92, Franklin County</t>
  </si>
  <si>
    <t>Census Tract 74.94, Franklin County</t>
  </si>
  <si>
    <t>Census Tract 75.11, Franklin County</t>
  </si>
  <si>
    <t>Census Tract 75.12, Franklin County</t>
  </si>
  <si>
    <t>Census Tract 75.2, Franklin County</t>
  </si>
  <si>
    <t>Census Tract 75.31, Franklin County</t>
  </si>
  <si>
    <t>Census Tract 75.32, Franklin County</t>
  </si>
  <si>
    <t>Census Tract 75.33, Franklin County</t>
  </si>
  <si>
    <t>Census Tract 75.34, Franklin County</t>
  </si>
  <si>
    <t>Census Tract 75.5, Franklin County</t>
  </si>
  <si>
    <t>Census Tract 75.52, Franklin County</t>
  </si>
  <si>
    <t>Census Tract 75.53, Franklin County</t>
  </si>
  <si>
    <t>Census Tract 77.1, Franklin County</t>
  </si>
  <si>
    <t>Census Tract 77.21, Franklin County</t>
  </si>
  <si>
    <t>Census Tract 77.22, Franklin County</t>
  </si>
  <si>
    <t>Census Tract 77.3, Franklin County</t>
  </si>
  <si>
    <t>Census Tract 77.4, Franklin County</t>
  </si>
  <si>
    <t>Census Tract 78.11, Franklin County</t>
  </si>
  <si>
    <t>Census Tract 78.12, Franklin County</t>
  </si>
  <si>
    <t>Census Tract 78.2, Franklin County</t>
  </si>
  <si>
    <t>Census Tract 78.3, Franklin County</t>
  </si>
  <si>
    <t>Census Tract 79.22, Franklin County</t>
  </si>
  <si>
    <t>Census Tract 79.31, Franklin County</t>
  </si>
  <si>
    <t>Census Tract 79.41, Franklin County</t>
  </si>
  <si>
    <t>Census Tract 79.55, Franklin County</t>
  </si>
  <si>
    <t>Census Tract 79.56, Franklin County</t>
  </si>
  <si>
    <t>Census Tract 79.57, Franklin County</t>
  </si>
  <si>
    <t>Census Tract 79.58, Franklin County</t>
  </si>
  <si>
    <t>Census Tract 79.59, Franklin County</t>
  </si>
  <si>
    <t>Census Tract 79.6, Franklin County</t>
  </si>
  <si>
    <t>Census Tract 79.61, Franklin County</t>
  </si>
  <si>
    <t>Census Tract 79.62, Franklin County</t>
  </si>
  <si>
    <t>Census Tract 79.63, Franklin County</t>
  </si>
  <si>
    <t>Census Tract 79.64, Franklin County</t>
  </si>
  <si>
    <t>Census Tract 79.65, Franklin County</t>
  </si>
  <si>
    <t>Census Tract 79.66, Franklin County</t>
  </si>
  <si>
    <t>Census Tract 80.01, Franklin County</t>
  </si>
  <si>
    <t>Census Tract 80.02, Franklin County</t>
  </si>
  <si>
    <t>Census Tract 81.1, Franklin County</t>
  </si>
  <si>
    <t>Census Tract 81.2, Franklin County</t>
  </si>
  <si>
    <t>Census Tract 81.32, Franklin County</t>
  </si>
  <si>
    <t>Census Tract 81.63, Franklin County</t>
  </si>
  <si>
    <t>Census Tract 81.64, Franklin County</t>
  </si>
  <si>
    <t>Census Tract 81.65, Franklin County</t>
  </si>
  <si>
    <t>Census Tract 81.66, Franklin County</t>
  </si>
  <si>
    <t>Census Tract 81.67, Franklin County</t>
  </si>
  <si>
    <t>Census Tract 81.68, Franklin County</t>
  </si>
  <si>
    <t>Census Tract 81.69, Franklin County</t>
  </si>
  <si>
    <t>Census Tract 81.7, Franklin County</t>
  </si>
  <si>
    <t>Census Tract 81.71, Franklin County</t>
  </si>
  <si>
    <t>Census Tract 81.72, Franklin County</t>
  </si>
  <si>
    <t>Census Tract 82.1, Franklin County</t>
  </si>
  <si>
    <t>Census Tract 82.3, Franklin County</t>
  </si>
  <si>
    <t>Census Tract 82.41, Franklin County</t>
  </si>
  <si>
    <t>Census Tract 82.42, Franklin County</t>
  </si>
  <si>
    <t>Census Tract 83.11, Franklin County</t>
  </si>
  <si>
    <t>Census Tract 83.12, Franklin County</t>
  </si>
  <si>
    <t>Census Tract 83.21, Franklin County</t>
  </si>
  <si>
    <t>Census Tract 83.22, Franklin County</t>
  </si>
  <si>
    <t>Census Tract 83.3, Franklin County</t>
  </si>
  <si>
    <t>Census Tract 83.4, Franklin County</t>
  </si>
  <si>
    <t>Census Tract 83.5, Franklin County</t>
  </si>
  <si>
    <t>Census Tract 83.6, Franklin County</t>
  </si>
  <si>
    <t>Census Tract 83.8, Franklin County</t>
  </si>
  <si>
    <t>Census Tract 83.81, Franklin County</t>
  </si>
  <si>
    <t>Census Tract 83.82, Franklin County</t>
  </si>
  <si>
    <t>Census Tract 84, Franklin County</t>
  </si>
  <si>
    <t>Census Tract 85, Franklin County</t>
  </si>
  <si>
    <t>Census Tract 87.1, Franklin County</t>
  </si>
  <si>
    <t>Census Tract 87.2, Franklin County</t>
  </si>
  <si>
    <t>Census Tract 87.3, Franklin County</t>
  </si>
  <si>
    <t>Census Tract 88.11, Franklin County</t>
  </si>
  <si>
    <t>Census Tract 88.12, Franklin County</t>
  </si>
  <si>
    <t>Census Tract 88.13, Franklin County</t>
  </si>
  <si>
    <t>Census Tract 88.21, Franklin County</t>
  </si>
  <si>
    <t>Census Tract 88.22, Franklin County</t>
  </si>
  <si>
    <t>Census Tract 88.25, Franklin County</t>
  </si>
  <si>
    <t>Census Tract 89, Franklin County</t>
  </si>
  <si>
    <t>Census Tract 90, Franklin County</t>
  </si>
  <si>
    <t>Census Tract 91, Franklin County</t>
  </si>
  <si>
    <t>Census Tract 92.2, Franklin County</t>
  </si>
  <si>
    <t>Census Tract 92.3, Franklin County</t>
  </si>
  <si>
    <t>Census Tract 92.4, Franklin County</t>
  </si>
  <si>
    <t>Census Tract 92.5, Franklin County</t>
  </si>
  <si>
    <t>Census Tract 92.51, Franklin County</t>
  </si>
  <si>
    <t>Census Tract 92.52, Franklin County</t>
  </si>
  <si>
    <t>Census Tract 93.11, Franklin County</t>
  </si>
  <si>
    <t>Census Tract 93.12, Franklin County</t>
  </si>
  <si>
    <t>Census Tract 93.21, Franklin County</t>
  </si>
  <si>
    <t>Census Tract 93.22, Franklin County</t>
  </si>
  <si>
    <t>Census Tract 93.23, Franklin County</t>
  </si>
  <si>
    <t>Census Tract 93.25, Franklin County</t>
  </si>
  <si>
    <t>Census Tract 93.26, Franklin County</t>
  </si>
  <si>
    <t>Census Tract 93.32, Franklin County</t>
  </si>
  <si>
    <t>Census Tract 93.34, Franklin County</t>
  </si>
  <si>
    <t>Census Tract 93.36, Franklin County</t>
  </si>
  <si>
    <t>Census Tract 93.37, Franklin County</t>
  </si>
  <si>
    <t>Census Tract 93.4, Franklin County</t>
  </si>
  <si>
    <t>Census Tract 93.5, Franklin County</t>
  </si>
  <si>
    <t>Census Tract 93.61, Franklin County</t>
  </si>
  <si>
    <t>Census Tract 93.72, Franklin County</t>
  </si>
  <si>
    <t>Census Tract 93.73, Franklin County</t>
  </si>
  <si>
    <t>Census Tract 93.81, Franklin County</t>
  </si>
  <si>
    <t>Census Tract 93.82, Franklin County</t>
  </si>
  <si>
    <t>Census Tract 93.83, Franklin County</t>
  </si>
  <si>
    <t>Census Tract 93.84, Franklin County</t>
  </si>
  <si>
    <t>Census Tract 93.85, Franklin County</t>
  </si>
  <si>
    <t>Census Tract 93.86, Franklin County</t>
  </si>
  <si>
    <t>Census Tract 93.9, Franklin County</t>
  </si>
  <si>
    <t>Census Tract 93.91, Franklin County</t>
  </si>
  <si>
    <t>Census Tract 93.92, Franklin County</t>
  </si>
  <si>
    <t>Census Tract 93.93, Franklin County</t>
  </si>
  <si>
    <t>Census Tract 93.94, Franklin County</t>
  </si>
  <si>
    <t>Census Tract 93.95, Franklin County</t>
  </si>
  <si>
    <t>Census Tract 93.96, Franklin County</t>
  </si>
  <si>
    <t>Census Tract 93.97, Franklin County</t>
  </si>
  <si>
    <t>Census Tract 94.01, Franklin County</t>
  </si>
  <si>
    <t>Census Tract 94.03, Franklin County</t>
  </si>
  <si>
    <t>Census Tract 94.04, Franklin County</t>
  </si>
  <si>
    <t>Census Tract 94.05, Franklin County</t>
  </si>
  <si>
    <t>Census Tract 94.1, Franklin County</t>
  </si>
  <si>
    <t>Census Tract 94.2, Franklin County</t>
  </si>
  <si>
    <t>Census Tract 94.4, Franklin County</t>
  </si>
  <si>
    <t>Census Tract 94.95, Franklin County</t>
  </si>
  <si>
    <t>Census Tract 94.97, Franklin County</t>
  </si>
  <si>
    <t>Census Tract 94.98, Franklin County</t>
  </si>
  <si>
    <t>Census Tract 95.2, Franklin County</t>
  </si>
  <si>
    <t>Census Tract 95.9, Franklin County</t>
  </si>
  <si>
    <t>Census Tract 96, Franklin County</t>
  </si>
  <si>
    <t>Census Tract 97.11, Franklin County</t>
  </si>
  <si>
    <t>Census Tract 97.12, Franklin County</t>
  </si>
  <si>
    <t>Census Tract 97.51, Franklin County</t>
  </si>
  <si>
    <t>Census Tract 97.52, Franklin County</t>
  </si>
  <si>
    <t>Census Tract 97.53, Franklin County</t>
  </si>
  <si>
    <t>Census Tract 97.54, Franklin County</t>
  </si>
  <si>
    <t>Census Tract 97.55, Franklin County</t>
  </si>
  <si>
    <t>Census Tract 97.56, Franklin County</t>
  </si>
  <si>
    <t>Census Tract 97.57, Franklin County</t>
  </si>
  <si>
    <t>Census Tract 98.01, Franklin County</t>
  </si>
  <si>
    <t>Census Tract 98.02, Franklin County</t>
  </si>
  <si>
    <t>Census Tract 99, Franklin County</t>
  </si>
  <si>
    <t>Census Tract 100, Franklin County</t>
  </si>
  <si>
    <t>Census Tract 101, Franklin County</t>
  </si>
  <si>
    <t>Census Tract 102.01, Franklin County</t>
  </si>
  <si>
    <t>Census Tract 102.02, Franklin County</t>
  </si>
  <si>
    <t>Census Tract 102.03, Franklin County</t>
  </si>
  <si>
    <t>Census Tract 102.04, Franklin County</t>
  </si>
  <si>
    <t>Census Tract 103, Franklin County</t>
  </si>
  <si>
    <t>Census Tract 104.01, Franklin County</t>
  </si>
  <si>
    <t>Census Tract 104.02, Franklin County</t>
  </si>
  <si>
    <t>Census Tract 105.01, Franklin County</t>
  </si>
  <si>
    <t>Census Tract 105.02, Franklin County</t>
  </si>
  <si>
    <t>Census Tract 106.01, Franklin County</t>
  </si>
  <si>
    <t>Census Tract 106.02, Franklin County</t>
  </si>
  <si>
    <t>Census Tract 107, Franklin County</t>
  </si>
  <si>
    <t>Census Tract 109, Franklin County</t>
  </si>
  <si>
    <t>Census Tract 9800, Franklin County</t>
  </si>
  <si>
    <t>Census Tract 401, Fulton County</t>
  </si>
  <si>
    <t>Census Tract 402, Fulton County</t>
  </si>
  <si>
    <t>Census Tract 403, Fulton County</t>
  </si>
  <si>
    <t>Census Tract 404, Fulton County</t>
  </si>
  <si>
    <t>Census Tract 405, Fulton County</t>
  </si>
  <si>
    <t>Census Tract 406, Fulton County</t>
  </si>
  <si>
    <t>Census Tract 407.01, Fulton County</t>
  </si>
  <si>
    <t>Census Tract 407.02, Fulton County</t>
  </si>
  <si>
    <t>Census Tract 408, Fulton County</t>
  </si>
  <si>
    <t>Census Tract 409, Fulton County</t>
  </si>
  <si>
    <t>Census Tract 9535, Gallia County</t>
  </si>
  <si>
    <t>Census Tract 9536, Gallia County</t>
  </si>
  <si>
    <t>Census Tract 9537, Gallia County</t>
  </si>
  <si>
    <t>Census Tract 9538, Gallia County</t>
  </si>
  <si>
    <t>Census Tract 9539.01, Gallia County</t>
  </si>
  <si>
    <t>Census Tract 9539.02, Gallia County</t>
  </si>
  <si>
    <t>Census Tract 9540, Gallia County</t>
  </si>
  <si>
    <t>Census Tract 9541, Gallia County</t>
  </si>
  <si>
    <t>Census Tract 3101, Geauga County</t>
  </si>
  <si>
    <t>Census Tract 3102, Geauga County</t>
  </si>
  <si>
    <t>Census Tract 3106, Geauga County</t>
  </si>
  <si>
    <t>Census Tract 3107, Geauga County</t>
  </si>
  <si>
    <t>Census Tract 3108, Geauga County</t>
  </si>
  <si>
    <t>Census Tract 3109, Geauga County</t>
  </si>
  <si>
    <t>Census Tract 3110, Geauga County</t>
  </si>
  <si>
    <t>Census Tract 3113, Geauga County</t>
  </si>
  <si>
    <t>Census Tract 3114, Geauga County</t>
  </si>
  <si>
    <t>Census Tract 3115, Geauga County</t>
  </si>
  <si>
    <t>Census Tract 3116, Geauga County</t>
  </si>
  <si>
    <t>Census Tract 3117, Geauga County</t>
  </si>
  <si>
    <t>Census Tract 3118, Geauga County</t>
  </si>
  <si>
    <t>Census Tract 3119, Geauga County</t>
  </si>
  <si>
    <t>Census Tract 3120, Geauga County</t>
  </si>
  <si>
    <t>Census Tract 3121, Geauga County</t>
  </si>
  <si>
    <t>Census Tract 3122.01, Geauga County</t>
  </si>
  <si>
    <t>Census Tract 3122.02, Geauga County</t>
  </si>
  <si>
    <t>Census Tract 3122.03, Geauga County</t>
  </si>
  <si>
    <t>Census Tract 3123, Geauga County</t>
  </si>
  <si>
    <t>Census Tract 3124, Geauga County</t>
  </si>
  <si>
    <t>Census Tract 2001.01, Greene County</t>
  </si>
  <si>
    <t>Census Tract 2001.03, Greene County</t>
  </si>
  <si>
    <t>Census Tract 2001.04, Greene County</t>
  </si>
  <si>
    <t>Census Tract 2003, Greene County</t>
  </si>
  <si>
    <t>Census Tract 2004, Greene County</t>
  </si>
  <si>
    <t>Census Tract 2005, Greene County</t>
  </si>
  <si>
    <t>Census Tract 2006, Greene County</t>
  </si>
  <si>
    <t>Census Tract 2007, Greene County</t>
  </si>
  <si>
    <t>Census Tract 2009.01, Greene County</t>
  </si>
  <si>
    <t>Census Tract 2009.02, Greene County</t>
  </si>
  <si>
    <t>Census Tract 2101.01, Greene County</t>
  </si>
  <si>
    <t>Census Tract 2101.02, Greene County</t>
  </si>
  <si>
    <t>Census Tract 2102.01, Greene County</t>
  </si>
  <si>
    <t>Census Tract 2102.02, Greene County</t>
  </si>
  <si>
    <t>Census Tract 2103, Greene County</t>
  </si>
  <si>
    <t>Census Tract 2104.01, Greene County</t>
  </si>
  <si>
    <t>Census Tract 2104.02, Greene County</t>
  </si>
  <si>
    <t>Census Tract 2105, Greene County</t>
  </si>
  <si>
    <t>Census Tract 2106.02, Greene County</t>
  </si>
  <si>
    <t>Census Tract 2106.03, Greene County</t>
  </si>
  <si>
    <t>Census Tract 2106.04, Greene County</t>
  </si>
  <si>
    <t>Census Tract 2106.05, Greene County</t>
  </si>
  <si>
    <t>Census Tract 2201.01, Greene County</t>
  </si>
  <si>
    <t>Census Tract 2201.02, Greene County</t>
  </si>
  <si>
    <t>Census Tract 2202.01, Greene County</t>
  </si>
  <si>
    <t>Census Tract 2202.02, Greene County</t>
  </si>
  <si>
    <t>Census Tract 2301, Greene County</t>
  </si>
  <si>
    <t>Census Tract 2401, Greene County</t>
  </si>
  <si>
    <t>Census Tract 2402, Greene County</t>
  </si>
  <si>
    <t>Census Tract 2403.02, Greene County</t>
  </si>
  <si>
    <t>Census Tract 2403.03, Greene County</t>
  </si>
  <si>
    <t>Census Tract 2403.04, Greene County</t>
  </si>
  <si>
    <t>Census Tract 2405, Greene County</t>
  </si>
  <si>
    <t>Census Tract 2406, Greene County</t>
  </si>
  <si>
    <t>Census Tract 2407, Greene County</t>
  </si>
  <si>
    <t>Census Tract 2550, Greene County</t>
  </si>
  <si>
    <t>Census Tract 2601, Greene County</t>
  </si>
  <si>
    <t>Census Tract 2701, Greene County</t>
  </si>
  <si>
    <t>Census Tract 2801.01, Greene County</t>
  </si>
  <si>
    <t>Census Tract 2801.02, Greene County</t>
  </si>
  <si>
    <t>Census Tract 2802, Greene County</t>
  </si>
  <si>
    <t>Census Tract 2803, Greene County</t>
  </si>
  <si>
    <t>Census Tract 9771, Guernsey County</t>
  </si>
  <si>
    <t>Census Tract 9772, Guernsey County</t>
  </si>
  <si>
    <t>Census Tract 9773, Guernsey County</t>
  </si>
  <si>
    <t>Census Tract 9774, Guernsey County</t>
  </si>
  <si>
    <t>Census Tract 9775, Guernsey County</t>
  </si>
  <si>
    <t>Census Tract 9776, Guernsey County</t>
  </si>
  <si>
    <t>Census Tract 9777, Guernsey County</t>
  </si>
  <si>
    <t>Census Tract 9778, Guernsey County</t>
  </si>
  <si>
    <t>Census Tract 9779, Guernsey County</t>
  </si>
  <si>
    <t>Census Tract 9780, Guernsey County</t>
  </si>
  <si>
    <t>Census Tract 2, Hamilton County</t>
  </si>
  <si>
    <t>Census Tract 7, Hamilton County</t>
  </si>
  <si>
    <t>Census Tract 9, Hamilton County</t>
  </si>
  <si>
    <t>Census Tract 10, Hamilton County</t>
  </si>
  <si>
    <t>Census Tract 11, Hamilton County</t>
  </si>
  <si>
    <t>Census Tract 16, Hamilton County</t>
  </si>
  <si>
    <t>Census Tract 17, Hamilton County</t>
  </si>
  <si>
    <t>Census Tract 18, Hamilton County</t>
  </si>
  <si>
    <t>Census Tract 19, Hamilton County</t>
  </si>
  <si>
    <t>Census Tract 20, Hamilton County</t>
  </si>
  <si>
    <t>Census Tract 22, Hamilton County</t>
  </si>
  <si>
    <t>Census Tract 23, Hamilton County</t>
  </si>
  <si>
    <t>Census Tract 25, Hamilton County</t>
  </si>
  <si>
    <t>Census Tract 26, Hamilton County</t>
  </si>
  <si>
    <t>Census Tract 27, Hamilton County</t>
  </si>
  <si>
    <t>Census Tract 28, Hamilton County</t>
  </si>
  <si>
    <t>Census Tract 29.01, Hamilton County</t>
  </si>
  <si>
    <t>Census Tract 29.02, Hamilton County</t>
  </si>
  <si>
    <t>Census Tract 30, Hamilton County</t>
  </si>
  <si>
    <t>Census Tract 32, Hamilton County</t>
  </si>
  <si>
    <t>Census Tract 33, Hamilton County</t>
  </si>
  <si>
    <t>Census Tract 36, Hamilton County</t>
  </si>
  <si>
    <t>Census Tract 37, Hamilton County</t>
  </si>
  <si>
    <t>Census Tract 38, Hamilton County</t>
  </si>
  <si>
    <t>Census Tract 39, Hamilton County</t>
  </si>
  <si>
    <t>Census Tract 40, Hamilton County</t>
  </si>
  <si>
    <t>Census Tract 41, Hamilton County</t>
  </si>
  <si>
    <t>Census Tract 42, Hamilton County</t>
  </si>
  <si>
    <t>Census Tract 46.02, Hamilton County</t>
  </si>
  <si>
    <t>Census Tract 46.03, Hamilton County</t>
  </si>
  <si>
    <t>Census Tract 46.04, Hamilton County</t>
  </si>
  <si>
    <t>Census Tract 46.05, Hamilton County</t>
  </si>
  <si>
    <t>Census Tract 47.03, Hamilton County</t>
  </si>
  <si>
    <t>Census Tract 48, Hamilton County</t>
  </si>
  <si>
    <t>Census Tract 49, Hamilton County</t>
  </si>
  <si>
    <t>Census Tract 50, Hamilton County</t>
  </si>
  <si>
    <t>Census Tract 51, Hamilton County</t>
  </si>
  <si>
    <t>Census Tract 52, Hamilton County</t>
  </si>
  <si>
    <t>Census Tract 53.01, Hamilton County</t>
  </si>
  <si>
    <t>Census Tract 53.02, Hamilton County</t>
  </si>
  <si>
    <t>Census Tract 55, Hamilton County</t>
  </si>
  <si>
    <t>Census Tract 56, Hamilton County</t>
  </si>
  <si>
    <t>Census Tract 57.01, Hamilton County</t>
  </si>
  <si>
    <t>Census Tract 57.02, Hamilton County</t>
  </si>
  <si>
    <t>Census Tract 58, Hamilton County</t>
  </si>
  <si>
    <t>Census Tract 59, Hamilton County</t>
  </si>
  <si>
    <t>Census Tract 60, Hamilton County</t>
  </si>
  <si>
    <t>Census Tract 61, Hamilton County</t>
  </si>
  <si>
    <t>Census Tract 63, Hamilton County</t>
  </si>
  <si>
    <t>Census Tract 64, Hamilton County</t>
  </si>
  <si>
    <t>Census Tract 65.01, Hamilton County</t>
  </si>
  <si>
    <t>Census Tract 65.02, Hamilton County</t>
  </si>
  <si>
    <t>Census Tract 66, Hamilton County</t>
  </si>
  <si>
    <t>Census Tract 68, Hamilton County</t>
  </si>
  <si>
    <t>Census Tract 69, Hamilton County</t>
  </si>
  <si>
    <t>Census Tract 70, Hamilton County</t>
  </si>
  <si>
    <t>Census Tract 71, Hamilton County</t>
  </si>
  <si>
    <t>Census Tract 72, Hamilton County</t>
  </si>
  <si>
    <t>Census Tract 73, Hamilton County</t>
  </si>
  <si>
    <t>Census Tract 74, Hamilton County</t>
  </si>
  <si>
    <t>Census Tract 75, Hamilton County</t>
  </si>
  <si>
    <t>Census Tract 77, Hamilton County</t>
  </si>
  <si>
    <t>Census Tract 80, Hamilton County</t>
  </si>
  <si>
    <t>Census Tract 81, Hamilton County</t>
  </si>
  <si>
    <t>Census Tract 82.01, Hamilton County</t>
  </si>
  <si>
    <t>Census Tract 82.02, Hamilton County</t>
  </si>
  <si>
    <t>Census Tract 83, Hamilton County</t>
  </si>
  <si>
    <t>Census Tract 84, Hamilton County</t>
  </si>
  <si>
    <t>Census Tract 85.01, Hamilton County</t>
  </si>
  <si>
    <t>Census Tract 85.02, Hamilton County</t>
  </si>
  <si>
    <t>Census Tract 86.01, Hamilton County</t>
  </si>
  <si>
    <t>Census Tract 88, Hamilton County</t>
  </si>
  <si>
    <t>Census Tract 92, Hamilton County</t>
  </si>
  <si>
    <t>Census Tract 93, Hamilton County</t>
  </si>
  <si>
    <t>Census Tract 94, Hamilton County</t>
  </si>
  <si>
    <t>Census Tract 95, Hamilton County</t>
  </si>
  <si>
    <t>Census Tract 96, Hamilton County</t>
  </si>
  <si>
    <t>Census Tract 97, Hamilton County</t>
  </si>
  <si>
    <t>Census Tract 98, Hamilton County</t>
  </si>
  <si>
    <t>Census Tract 99.01, Hamilton County</t>
  </si>
  <si>
    <t>Census Tract 99.02, Hamilton County</t>
  </si>
  <si>
    <t>Census Tract 100.02, Hamilton County</t>
  </si>
  <si>
    <t>Census Tract 100.03, Hamilton County</t>
  </si>
  <si>
    <t>Census Tract 100.04, Hamilton County</t>
  </si>
  <si>
    <t>Census Tract 100.05, Hamilton County</t>
  </si>
  <si>
    <t>Census Tract 101, Hamilton County</t>
  </si>
  <si>
    <t>Census Tract 102.01, Hamilton County</t>
  </si>
  <si>
    <t>Census Tract 102.02, Hamilton County</t>
  </si>
  <si>
    <t>Census Tract 103, Hamilton County</t>
  </si>
  <si>
    <t>Census Tract 104, Hamilton County</t>
  </si>
  <si>
    <t>Census Tract 105, Hamilton County</t>
  </si>
  <si>
    <t>Census Tract 106, Hamilton County</t>
  </si>
  <si>
    <t>Census Tract 107, Hamilton County</t>
  </si>
  <si>
    <t>Census Tract 109, Hamilton County</t>
  </si>
  <si>
    <t>Census Tract 110, Hamilton County</t>
  </si>
  <si>
    <t>Census Tract 111, Hamilton County</t>
  </si>
  <si>
    <t>Census Tract 204.01, Hamilton County</t>
  </si>
  <si>
    <t>Census Tract 204.03, Hamilton County</t>
  </si>
  <si>
    <t>Census Tract 204.04, Hamilton County</t>
  </si>
  <si>
    <t>Census Tract 205.01, Hamilton County</t>
  </si>
  <si>
    <t>Census Tract 205.02, Hamilton County</t>
  </si>
  <si>
    <t>Census Tract 205.04, Hamilton County</t>
  </si>
  <si>
    <t>Census Tract 205.05, Hamilton County</t>
  </si>
  <si>
    <t>Census Tract 206.01, Hamilton County</t>
  </si>
  <si>
    <t>Census Tract 206.03, Hamilton County</t>
  </si>
  <si>
    <t>Census Tract 206.04, Hamilton County</t>
  </si>
  <si>
    <t>Census Tract 207.01, Hamilton County</t>
  </si>
  <si>
    <t>Census Tract 207.05, Hamilton County</t>
  </si>
  <si>
    <t>Census Tract 207.07, Hamilton County</t>
  </si>
  <si>
    <t>Census Tract 207.41, Hamilton County</t>
  </si>
  <si>
    <t>Census Tract 207.42, Hamilton County</t>
  </si>
  <si>
    <t>Census Tract 207.62, Hamilton County</t>
  </si>
  <si>
    <t>Census Tract 207.63, Hamilton County</t>
  </si>
  <si>
    <t>Census Tract 207.64, Hamilton County</t>
  </si>
  <si>
    <t>Census Tract 208.02, Hamilton County</t>
  </si>
  <si>
    <t>Census Tract 208.11, Hamilton County</t>
  </si>
  <si>
    <t>Census Tract 208.12, Hamilton County</t>
  </si>
  <si>
    <t>Census Tract 209.01, Hamilton County</t>
  </si>
  <si>
    <t>Census Tract 209.02, Hamilton County</t>
  </si>
  <si>
    <t>Census Tract 210.01, Hamilton County</t>
  </si>
  <si>
    <t>Census Tract 210.02, Hamilton County</t>
  </si>
  <si>
    <t>Census Tract 210.03, Hamilton County</t>
  </si>
  <si>
    <t>Census Tract 211.01, Hamilton County</t>
  </si>
  <si>
    <t>Census Tract 211.02, Hamilton County</t>
  </si>
  <si>
    <t>Census Tract 212.01, Hamilton County</t>
  </si>
  <si>
    <t>Census Tract 212.02, Hamilton County</t>
  </si>
  <si>
    <t>Census Tract 213.02, Hamilton County</t>
  </si>
  <si>
    <t>Census Tract 213.03, Hamilton County</t>
  </si>
  <si>
    <t>Census Tract 213.04, Hamilton County</t>
  </si>
  <si>
    <t>Census Tract 214.01, Hamilton County</t>
  </si>
  <si>
    <t>Census Tract 214.21, Hamilton County</t>
  </si>
  <si>
    <t>Census Tract 214.22, Hamilton County</t>
  </si>
  <si>
    <t>Census Tract 215.01, Hamilton County</t>
  </si>
  <si>
    <t>Census Tract 215.04, Hamilton County</t>
  </si>
  <si>
    <t>Census Tract 215.05, Hamilton County</t>
  </si>
  <si>
    <t>Census Tract 215.06, Hamilton County</t>
  </si>
  <si>
    <t>Census Tract 215.08, Hamilton County</t>
  </si>
  <si>
    <t>Census Tract 215.09, Hamilton County</t>
  </si>
  <si>
    <t>Census Tract 215.71, Hamilton County</t>
  </si>
  <si>
    <t>Census Tract 215.72, Hamilton County</t>
  </si>
  <si>
    <t>Census Tract 216.02, Hamilton County</t>
  </si>
  <si>
    <t>Census Tract 216.03, Hamilton County</t>
  </si>
  <si>
    <t>Census Tract 216.04, Hamilton County</t>
  </si>
  <si>
    <t>Census Tract 217.01, Hamilton County</t>
  </si>
  <si>
    <t>Census Tract 217.02, Hamilton County</t>
  </si>
  <si>
    <t>Census Tract 218.01, Hamilton County</t>
  </si>
  <si>
    <t>Census Tract 218.02, Hamilton County</t>
  </si>
  <si>
    <t>Census Tract 219, Hamilton County</t>
  </si>
  <si>
    <t>Census Tract 220, Hamilton County</t>
  </si>
  <si>
    <t>Census Tract 221.01, Hamilton County</t>
  </si>
  <si>
    <t>Census Tract 221.02, Hamilton County</t>
  </si>
  <si>
    <t>Census Tract 222, Hamilton County</t>
  </si>
  <si>
    <t>Census Tract 223.01, Hamilton County</t>
  </si>
  <si>
    <t>Census Tract 223.02, Hamilton County</t>
  </si>
  <si>
    <t>Census Tract 224, Hamilton County</t>
  </si>
  <si>
    <t>Census Tract 225, Hamilton County</t>
  </si>
  <si>
    <t>Census Tract 226.01, Hamilton County</t>
  </si>
  <si>
    <t>Census Tract 226.02, Hamilton County</t>
  </si>
  <si>
    <t>Census Tract 227, Hamilton County</t>
  </si>
  <si>
    <t>Census Tract 230.01, Hamilton County</t>
  </si>
  <si>
    <t>Census Tract 230.02, Hamilton County</t>
  </si>
  <si>
    <t>Census Tract 231, Hamilton County</t>
  </si>
  <si>
    <t>Census Tract 232.01, Hamilton County</t>
  </si>
  <si>
    <t>Census Tract 232.1, Hamilton County</t>
  </si>
  <si>
    <t>Census Tract 232.22, Hamilton County</t>
  </si>
  <si>
    <t>Census Tract 233, Hamilton County</t>
  </si>
  <si>
    <t>Census Tract 234, Hamilton County</t>
  </si>
  <si>
    <t>Census Tract 235.01, Hamilton County</t>
  </si>
  <si>
    <t>Census Tract 235.21, Hamilton County</t>
  </si>
  <si>
    <t>Census Tract 235.22, Hamilton County</t>
  </si>
  <si>
    <t>Census Tract 236, Hamilton County</t>
  </si>
  <si>
    <t>Census Tract 237.01, Hamilton County</t>
  </si>
  <si>
    <t>Census Tract 237.02, Hamilton County</t>
  </si>
  <si>
    <t>Census Tract 238, Hamilton County</t>
  </si>
  <si>
    <t>Census Tract 239.01, Hamilton County</t>
  </si>
  <si>
    <t>Census Tract 239.02, Hamilton County</t>
  </si>
  <si>
    <t>Census Tract 240.01, Hamilton County</t>
  </si>
  <si>
    <t>Census Tract 240.02, Hamilton County</t>
  </si>
  <si>
    <t>Census Tract 241, Hamilton County</t>
  </si>
  <si>
    <t>Census Tract 242, Hamilton County</t>
  </si>
  <si>
    <t>Census Tract 243.01, Hamilton County</t>
  </si>
  <si>
    <t>Census Tract 243.03, Hamilton County</t>
  </si>
  <si>
    <t>Census Tract 243.22, Hamilton County</t>
  </si>
  <si>
    <t>Census Tract 243.23, Hamilton County</t>
  </si>
  <si>
    <t>Census Tract 243.24, Hamilton County</t>
  </si>
  <si>
    <t>Census Tract 244.01, Hamilton County</t>
  </si>
  <si>
    <t>Census Tract 244.02, Hamilton County</t>
  </si>
  <si>
    <t>Census Tract 247, Hamilton County</t>
  </si>
  <si>
    <t>Census Tract 248, Hamilton County</t>
  </si>
  <si>
    <t>Census Tract 249.01, Hamilton County</t>
  </si>
  <si>
    <t>Census Tract 249.03, Hamilton County</t>
  </si>
  <si>
    <t>Census Tract 249.04, Hamilton County</t>
  </si>
  <si>
    <t>Census Tract 250.01, Hamilton County</t>
  </si>
  <si>
    <t>Census Tract 250.02, Hamilton County</t>
  </si>
  <si>
    <t>Census Tract 251.01, Hamilton County</t>
  </si>
  <si>
    <t>Census Tract 251.02, Hamilton County</t>
  </si>
  <si>
    <t>Census Tract 251.03, Hamilton County</t>
  </si>
  <si>
    <t>Census Tract 252, Hamilton County</t>
  </si>
  <si>
    <t>Census Tract 253, Hamilton County</t>
  </si>
  <si>
    <t>Census Tract 254.01, Hamilton County</t>
  </si>
  <si>
    <t>Census Tract 254.02, Hamilton County</t>
  </si>
  <si>
    <t>Census Tract 255, Hamilton County</t>
  </si>
  <si>
    <t>Census Tract 256, Hamilton County</t>
  </si>
  <si>
    <t>Census Tract 257, Hamilton County</t>
  </si>
  <si>
    <t>Census Tract 258, Hamilton County</t>
  </si>
  <si>
    <t>Census Tract 260.01, Hamilton County</t>
  </si>
  <si>
    <t>Census Tract 260.02, Hamilton County</t>
  </si>
  <si>
    <t>Census Tract 261.02, Hamilton County</t>
  </si>
  <si>
    <t>Census Tract 261.03, Hamilton County</t>
  </si>
  <si>
    <t>Census Tract 261.04, Hamilton County</t>
  </si>
  <si>
    <t>Census Tract 262, Hamilton County</t>
  </si>
  <si>
    <t>Census Tract 263, Hamilton County</t>
  </si>
  <si>
    <t>Census Tract 264, Hamilton County</t>
  </si>
  <si>
    <t>Census Tract 265, Hamilton County</t>
  </si>
  <si>
    <t>Census Tract 266, Hamilton County</t>
  </si>
  <si>
    <t>Census Tract 267, Hamilton County</t>
  </si>
  <si>
    <t>Census Tract 268, Hamilton County</t>
  </si>
  <si>
    <t>Census Tract 269, Hamilton County</t>
  </si>
  <si>
    <t>Census Tract 270, Hamilton County</t>
  </si>
  <si>
    <t>Census Tract 271, Hamilton County</t>
  </si>
  <si>
    <t>Census Tract 272, Hamilton County</t>
  </si>
  <si>
    <t>Census Tract 273, Hamilton County</t>
  </si>
  <si>
    <t>Census Tract 274, Hamilton County</t>
  </si>
  <si>
    <t>Census Tract 275, Hamilton County</t>
  </si>
  <si>
    <t>Census Tract 276, Hamilton County</t>
  </si>
  <si>
    <t>Census Tract 277, Hamilton County</t>
  </si>
  <si>
    <t>Census Tract 1, Hancock County</t>
  </si>
  <si>
    <t>Census Tract 2, Hancock County</t>
  </si>
  <si>
    <t>Census Tract 3.01, Hancock County</t>
  </si>
  <si>
    <t>Census Tract 3.02, Hancock County</t>
  </si>
  <si>
    <t>Census Tract 4, Hancock County</t>
  </si>
  <si>
    <t>Census Tract 5, Hancock County</t>
  </si>
  <si>
    <t>Census Tract 6, Hancock County</t>
  </si>
  <si>
    <t>Census Tract 7, Hancock County</t>
  </si>
  <si>
    <t>Census Tract 8, Hancock County</t>
  </si>
  <si>
    <t>Census Tract 9.01, Hancock County</t>
  </si>
  <si>
    <t>Census Tract 9.02, Hancock County</t>
  </si>
  <si>
    <t>Census Tract 10, Hancock County</t>
  </si>
  <si>
    <t>Census Tract 11, Hancock County</t>
  </si>
  <si>
    <t>Census Tract 12, Hancock County</t>
  </si>
  <si>
    <t>Census Tract 13, Hancock County</t>
  </si>
  <si>
    <t>Census Tract 1, Hardin County</t>
  </si>
  <si>
    <t>Census Tract 2, Hardin County</t>
  </si>
  <si>
    <t>Census Tract 3, Hardin County</t>
  </si>
  <si>
    <t>Census Tract 4.01, Hardin County</t>
  </si>
  <si>
    <t>Census Tract 4.02, Hardin County</t>
  </si>
  <si>
    <t>Census Tract 5, Hardin County</t>
  </si>
  <si>
    <t>Census Tract 6, Hardin County</t>
  </si>
  <si>
    <t>Census Tract 7, Hardin County</t>
  </si>
  <si>
    <t>Census Tract 9756, Harrison County</t>
  </si>
  <si>
    <t>Census Tract 9757, Harrison County</t>
  </si>
  <si>
    <t>Census Tract 9758, Harrison County</t>
  </si>
  <si>
    <t>Census Tract 9759, Harrison County</t>
  </si>
  <si>
    <t>Census Tract 9760, Harrison County</t>
  </si>
  <si>
    <t>Census Tract 1, Henry County</t>
  </si>
  <si>
    <t>Census Tract 2, Henry County</t>
  </si>
  <si>
    <t>Census Tract 3, Henry County</t>
  </si>
  <si>
    <t>Census Tract 4, Henry County</t>
  </si>
  <si>
    <t>Census Tract 5, Henry County</t>
  </si>
  <si>
    <t>Census Tract 6, Henry County</t>
  </si>
  <si>
    <t>Census Tract 7, Henry County</t>
  </si>
  <si>
    <t>Census Tract 9544, Highland County</t>
  </si>
  <si>
    <t>Census Tract 9545, Highland County</t>
  </si>
  <si>
    <t>Census Tract 9546, Highland County</t>
  </si>
  <si>
    <t>Census Tract 9547, Highland County</t>
  </si>
  <si>
    <t>Census Tract 9548, Highland County</t>
  </si>
  <si>
    <t>Census Tract 9549, Highland County</t>
  </si>
  <si>
    <t>Census Tract 9550.01, Highland County</t>
  </si>
  <si>
    <t>Census Tract 9550.02, Highland County</t>
  </si>
  <si>
    <t>Census Tract 9551.01, Highland County</t>
  </si>
  <si>
    <t>Census Tract 9551.02, Highland County</t>
  </si>
  <si>
    <t>Census Tract 9552, Highland County</t>
  </si>
  <si>
    <t>Census Tract 9649, Hocking County</t>
  </si>
  <si>
    <t>Census Tract 9650, Hocking County</t>
  </si>
  <si>
    <t>Census Tract 9651, Hocking County</t>
  </si>
  <si>
    <t>Census Tract 9652, Hocking County</t>
  </si>
  <si>
    <t>Census Tract 9653, Hocking County</t>
  </si>
  <si>
    <t>Census Tract 9654, Hocking County</t>
  </si>
  <si>
    <t>Census Tract 9655, Hocking County</t>
  </si>
  <si>
    <t>Census Tract 9763.01, Holmes County</t>
  </si>
  <si>
    <t>Census Tract 9763.02, Holmes County</t>
  </si>
  <si>
    <t>Census Tract 9764.01, Holmes County</t>
  </si>
  <si>
    <t>Census Tract 9764.02, Holmes County</t>
  </si>
  <si>
    <t>Census Tract 9764.03, Holmes County</t>
  </si>
  <si>
    <t>Census Tract 9765, Holmes County</t>
  </si>
  <si>
    <t>Census Tract 9766, Holmes County</t>
  </si>
  <si>
    <t>Census Tract 9767, Holmes County</t>
  </si>
  <si>
    <t>Census Tract 9768.01, Holmes County</t>
  </si>
  <si>
    <t>Census Tract 9768.02, Holmes County</t>
  </si>
  <si>
    <t>Census Tract 9154, Huron County</t>
  </si>
  <si>
    <t>Census Tract 9155, Huron County</t>
  </si>
  <si>
    <t>Census Tract 9156, Huron County</t>
  </si>
  <si>
    <t>Census Tract 9157, Huron County</t>
  </si>
  <si>
    <t>Census Tract 9158, Huron County</t>
  </si>
  <si>
    <t>Census Tract 9159, Huron County</t>
  </si>
  <si>
    <t>Census Tract 9160, Huron County</t>
  </si>
  <si>
    <t>Census Tract 9161, Huron County</t>
  </si>
  <si>
    <t>Census Tract 9162, Huron County</t>
  </si>
  <si>
    <t>Census Tract 9163, Huron County</t>
  </si>
  <si>
    <t>Census Tract 9164, Huron County</t>
  </si>
  <si>
    <t>Census Tract 9165, Huron County</t>
  </si>
  <si>
    <t>Census Tract 9166, Huron County</t>
  </si>
  <si>
    <t>Census Tract 9572, Jackson County</t>
  </si>
  <si>
    <t>Census Tract 9573, Jackson County</t>
  </si>
  <si>
    <t>Census Tract 9574, Jackson County</t>
  </si>
  <si>
    <t>Census Tract 9575, Jackson County</t>
  </si>
  <si>
    <t>Census Tract 9576, Jackson County</t>
  </si>
  <si>
    <t>Census Tract 9577, Jackson County</t>
  </si>
  <si>
    <t>Census Tract 9578, Jackson County</t>
  </si>
  <si>
    <t>Census Tract 2, Jefferson County</t>
  </si>
  <si>
    <t>Census Tract 4, Jefferson County</t>
  </si>
  <si>
    <t>Census Tract 6, Jefferson County</t>
  </si>
  <si>
    <t>Census Tract 10, Jefferson County</t>
  </si>
  <si>
    <t>Census Tract 12, Jefferson County</t>
  </si>
  <si>
    <t>Census Tract 13, Jefferson County</t>
  </si>
  <si>
    <t>Census Tract 14, Jefferson County</t>
  </si>
  <si>
    <t>Census Tract 110, Jefferson County</t>
  </si>
  <si>
    <t>Census Tract 111, Jefferson County</t>
  </si>
  <si>
    <t>Census Tract 112, Jefferson County</t>
  </si>
  <si>
    <t>Census Tract 113, Jefferson County</t>
  </si>
  <si>
    <t>Census Tract 114.01, Jefferson County</t>
  </si>
  <si>
    <t>Census Tract 114.02, Jefferson County</t>
  </si>
  <si>
    <t>Census Tract 115, Jefferson County</t>
  </si>
  <si>
    <t>Census Tract 117, Jefferson County</t>
  </si>
  <si>
    <t>Census Tract 118, Jefferson County</t>
  </si>
  <si>
    <t>Census Tract 119, Jefferson County</t>
  </si>
  <si>
    <t>Census Tract 120, Jefferson County</t>
  </si>
  <si>
    <t>Census Tract 121, Jefferson County</t>
  </si>
  <si>
    <t>Census Tract 122, Jefferson County</t>
  </si>
  <si>
    <t>Census Tract 123, Jefferson County</t>
  </si>
  <si>
    <t>Census Tract 124, Jefferson County</t>
  </si>
  <si>
    <t>Census Tract 67, Knox County</t>
  </si>
  <si>
    <t>Census Tract 68.01, Knox County</t>
  </si>
  <si>
    <t>Census Tract 68.02, Knox County</t>
  </si>
  <si>
    <t>Census Tract 69, Knox County</t>
  </si>
  <si>
    <t>Census Tract 70, Knox County</t>
  </si>
  <si>
    <t>Census Tract 71, Knox County</t>
  </si>
  <si>
    <t>Census Tract 72, Knox County</t>
  </si>
  <si>
    <t>Census Tract 73.01, Knox County</t>
  </si>
  <si>
    <t>Census Tract 73.02, Knox County</t>
  </si>
  <si>
    <t>Census Tract 74, Knox County</t>
  </si>
  <si>
    <t>Census Tract 75, Knox County</t>
  </si>
  <si>
    <t>Census Tract 76, Knox County</t>
  </si>
  <si>
    <t>Census Tract 77.01, Knox County</t>
  </si>
  <si>
    <t>Census Tract 77.02, Knox County</t>
  </si>
  <si>
    <t>Census Tract 2001, Lake County</t>
  </si>
  <si>
    <t>Census Tract 2002, Lake County</t>
  </si>
  <si>
    <t>Census Tract 2003, Lake County</t>
  </si>
  <si>
    <t>Census Tract 2004, Lake County</t>
  </si>
  <si>
    <t>Census Tract 2005, Lake County</t>
  </si>
  <si>
    <t>Census Tract 2006, Lake County</t>
  </si>
  <si>
    <t>Census Tract 2007, Lake County</t>
  </si>
  <si>
    <t>Census Tract 2008, Lake County</t>
  </si>
  <si>
    <t>Census Tract 2009, Lake County</t>
  </si>
  <si>
    <t>Census Tract 2010, Lake County</t>
  </si>
  <si>
    <t>Census Tract 2011.01, Lake County</t>
  </si>
  <si>
    <t>Census Tract 2011.02, Lake County</t>
  </si>
  <si>
    <t>Census Tract 2012, Lake County</t>
  </si>
  <si>
    <t>Census Tract 2013, Lake County</t>
  </si>
  <si>
    <t>Census Tract 2014, Lake County</t>
  </si>
  <si>
    <t>Census Tract 2015, Lake County</t>
  </si>
  <si>
    <t>Census Tract 2016, Lake County</t>
  </si>
  <si>
    <t>Census Tract 2017, Lake County</t>
  </si>
  <si>
    <t>Census Tract 2018, Lake County</t>
  </si>
  <si>
    <t>Census Tract 2019, Lake County</t>
  </si>
  <si>
    <t>Census Tract 2020, Lake County</t>
  </si>
  <si>
    <t>Census Tract 2021, Lake County</t>
  </si>
  <si>
    <t>Census Tract 2024, Lake County</t>
  </si>
  <si>
    <t>Census Tract 2025, Lake County</t>
  </si>
  <si>
    <t>Census Tract 2026, Lake County</t>
  </si>
  <si>
    <t>Census Tract 2027, Lake County</t>
  </si>
  <si>
    <t>Census Tract 2028, Lake County</t>
  </si>
  <si>
    <t>Census Tract 2029.01, Lake County</t>
  </si>
  <si>
    <t>Census Tract 2029.02, Lake County</t>
  </si>
  <si>
    <t>Census Tract 2030, Lake County</t>
  </si>
  <si>
    <t>Census Tract 2032, Lake County</t>
  </si>
  <si>
    <t>Census Tract 2034, Lake County</t>
  </si>
  <si>
    <t>Census Tract 2035, Lake County</t>
  </si>
  <si>
    <t>Census Tract 2037, Lake County</t>
  </si>
  <si>
    <t>Census Tract 2040, Lake County</t>
  </si>
  <si>
    <t>Census Tract 2042, Lake County</t>
  </si>
  <si>
    <t>Census Tract 2043.03, Lake County</t>
  </si>
  <si>
    <t>Census Tract 2043.04, Lake County</t>
  </si>
  <si>
    <t>Census Tract 2044, Lake County</t>
  </si>
  <si>
    <t>Census Tract 2045, Lake County</t>
  </si>
  <si>
    <t>Census Tract 2047, Lake County</t>
  </si>
  <si>
    <t>Census Tract 2048, Lake County</t>
  </si>
  <si>
    <t>Census Tract 2049, Lake County</t>
  </si>
  <si>
    <t>Census Tract 2050.01, Lake County</t>
  </si>
  <si>
    <t>Census Tract 2050.02, Lake County</t>
  </si>
  <si>
    <t>Census Tract 2051, Lake County</t>
  </si>
  <si>
    <t>Census Tract 2052, Lake County</t>
  </si>
  <si>
    <t>Census Tract 2053, Lake County</t>
  </si>
  <si>
    <t>Census Tract 2054, Lake County</t>
  </si>
  <si>
    <t>Census Tract 2057.01, Lake County</t>
  </si>
  <si>
    <t>Census Tract 2057.02, Lake County</t>
  </si>
  <si>
    <t>Census Tract 2058, Lake County</t>
  </si>
  <si>
    <t>Census Tract 2061, Lake County</t>
  </si>
  <si>
    <t>Census Tract 2062, Lake County</t>
  </si>
  <si>
    <t>Census Tract 2063, Lake County</t>
  </si>
  <si>
    <t>Census Tract 2064, Lake County</t>
  </si>
  <si>
    <t>Census Tract 2065, Lake County</t>
  </si>
  <si>
    <t>Census Tract 2066, Lake County</t>
  </si>
  <si>
    <t>Census Tract 2067, Lake County</t>
  </si>
  <si>
    <t>Census Tract 9900, Lake County</t>
  </si>
  <si>
    <t>Census Tract 501, Lawrence County</t>
  </si>
  <si>
    <t>Census Tract 502, Lawrence County</t>
  </si>
  <si>
    <t>Census Tract 503, Lawrence County</t>
  </si>
  <si>
    <t>Census Tract 504, Lawrence County</t>
  </si>
  <si>
    <t>Census Tract 505.01, Lawrence County</t>
  </si>
  <si>
    <t>Census Tract 505.02, Lawrence County</t>
  </si>
  <si>
    <t>Census Tract 506, Lawrence County</t>
  </si>
  <si>
    <t>Census Tract 507, Lawrence County</t>
  </si>
  <si>
    <t>Census Tract 508, Lawrence County</t>
  </si>
  <si>
    <t>Census Tract 509, Lawrence County</t>
  </si>
  <si>
    <t>Census Tract 510.01, Lawrence County</t>
  </si>
  <si>
    <t>Census Tract 510.02, Lawrence County</t>
  </si>
  <si>
    <t>Census Tract 511.01, Lawrence County</t>
  </si>
  <si>
    <t>Census Tract 511.02, Lawrence County</t>
  </si>
  <si>
    <t>Census Tract 512, Lawrence County</t>
  </si>
  <si>
    <t>Census Tract 513, Lawrence County</t>
  </si>
  <si>
    <t>Census Tract 514.01, Lawrence County</t>
  </si>
  <si>
    <t>Census Tract 514.02, Lawrence County</t>
  </si>
  <si>
    <t>Census Tract 7507, Licking County</t>
  </si>
  <si>
    <t>Census Tract 7510, Licking County</t>
  </si>
  <si>
    <t>Census Tract 7513, Licking County</t>
  </si>
  <si>
    <t>Census Tract 7516, Licking County</t>
  </si>
  <si>
    <t>Census Tract 7519, Licking County</t>
  </si>
  <si>
    <t>Census Tract 7522, Licking County</t>
  </si>
  <si>
    <t>Census Tract 7525, Licking County</t>
  </si>
  <si>
    <t>Census Tract 7528.01, Licking County</t>
  </si>
  <si>
    <t>Census Tract 7528.02, Licking County</t>
  </si>
  <si>
    <t>Census Tract 7531, Licking County</t>
  </si>
  <si>
    <t>Census Tract 7533.01, Licking County</t>
  </si>
  <si>
    <t>Census Tract 7533.02, Licking County</t>
  </si>
  <si>
    <t>Census Tract 7536, Licking County</t>
  </si>
  <si>
    <t>Census Tract 7539, Licking County</t>
  </si>
  <si>
    <t>Census Tract 7541.02, Licking County</t>
  </si>
  <si>
    <t>Census Tract 7541.03, Licking County</t>
  </si>
  <si>
    <t>Census Tract 7541.04, Licking County</t>
  </si>
  <si>
    <t>Census Tract 7544, Licking County</t>
  </si>
  <si>
    <t>Census Tract 7547, Licking County</t>
  </si>
  <si>
    <t>Census Tract 7550, Licking County</t>
  </si>
  <si>
    <t>Census Tract 7553.01, Licking County</t>
  </si>
  <si>
    <t>Census Tract 7553.02, Licking County</t>
  </si>
  <si>
    <t>Census Tract 7556.01, Licking County</t>
  </si>
  <si>
    <t>Census Tract 7556.02, Licking County</t>
  </si>
  <si>
    <t>Census Tract 7559.01, Licking County</t>
  </si>
  <si>
    <t>Census Tract 7559.02, Licking County</t>
  </si>
  <si>
    <t>Census Tract 7562.01, Licking County</t>
  </si>
  <si>
    <t>Census Tract 7562.03, Licking County</t>
  </si>
  <si>
    <t>Census Tract 7562.04, Licking County</t>
  </si>
  <si>
    <t>Census Tract 7565, Licking County</t>
  </si>
  <si>
    <t>Census Tract 7568.01, Licking County</t>
  </si>
  <si>
    <t>Census Tract 7568.02, Licking County</t>
  </si>
  <si>
    <t>Census Tract 7568.03, Licking County</t>
  </si>
  <si>
    <t>Census Tract 7571, Licking County</t>
  </si>
  <si>
    <t>Census Tract 7574.01, Licking County</t>
  </si>
  <si>
    <t>Census Tract 7574.02, Licking County</t>
  </si>
  <si>
    <t>Census Tract 7577.01, Licking County</t>
  </si>
  <si>
    <t>Census Tract 7577.02, Licking County</t>
  </si>
  <si>
    <t>Census Tract 7583, Licking County</t>
  </si>
  <si>
    <t>Census Tract 7586.01, Licking County</t>
  </si>
  <si>
    <t>Census Tract 7586.02, Licking County</t>
  </si>
  <si>
    <t>Census Tract 7589.01, Licking County</t>
  </si>
  <si>
    <t>Census Tract 7589.02, Licking County</t>
  </si>
  <si>
    <t>Census Tract 7590, Licking County</t>
  </si>
  <si>
    <t>Census Tract 7591.01, Licking County</t>
  </si>
  <si>
    <t>Census Tract 7591.02, Licking County</t>
  </si>
  <si>
    <t>Census Tract 38, Logan County</t>
  </si>
  <si>
    <t>Census Tract 39, Logan County</t>
  </si>
  <si>
    <t>Census Tract 40, Logan County</t>
  </si>
  <si>
    <t>Census Tract 41, Logan County</t>
  </si>
  <si>
    <t>Census Tract 42, Logan County</t>
  </si>
  <si>
    <t>Census Tract 43, Logan County</t>
  </si>
  <si>
    <t>Census Tract 44, Logan County</t>
  </si>
  <si>
    <t>Census Tract 45, Logan County</t>
  </si>
  <si>
    <t>Census Tract 46, Logan County</t>
  </si>
  <si>
    <t>Census Tract 47, Logan County</t>
  </si>
  <si>
    <t>Census Tract 48, Logan County</t>
  </si>
  <si>
    <t>Census Tract 102, Lorain County</t>
  </si>
  <si>
    <t>Census Tract 103, Lorain County</t>
  </si>
  <si>
    <t>Census Tract 104, Lorain County</t>
  </si>
  <si>
    <t>Census Tract 131.01, Lorain County</t>
  </si>
  <si>
    <t>Census Tract 131.02, Lorain County</t>
  </si>
  <si>
    <t>Census Tract 132.01, Lorain County</t>
  </si>
  <si>
    <t>Census Tract 132.02, Lorain County</t>
  </si>
  <si>
    <t>Census Tract 211, Lorain County</t>
  </si>
  <si>
    <t>Census Tract 212, Lorain County</t>
  </si>
  <si>
    <t>Census Tract 221, Lorain County</t>
  </si>
  <si>
    <t>Census Tract 222, Lorain County</t>
  </si>
  <si>
    <t>Census Tract 224, Lorain County</t>
  </si>
  <si>
    <t>Census Tract 225, Lorain County</t>
  </si>
  <si>
    <t>Census Tract 226.01, Lorain County</t>
  </si>
  <si>
    <t>Census Tract 228, Lorain County</t>
  </si>
  <si>
    <t>Census Tract 230, Lorain County</t>
  </si>
  <si>
    <t>Census Tract 231, Lorain County</t>
  </si>
  <si>
    <t>Census Tract 232, Lorain County</t>
  </si>
  <si>
    <t>Census Tract 233, Lorain County</t>
  </si>
  <si>
    <t>Census Tract 234, Lorain County</t>
  </si>
  <si>
    <t>Census Tract 235, Lorain County</t>
  </si>
  <si>
    <t>Census Tract 236, Lorain County</t>
  </si>
  <si>
    <t>Census Tract 239, Lorain County</t>
  </si>
  <si>
    <t>Census Tract 240, Lorain County</t>
  </si>
  <si>
    <t>Census Tract 241, Lorain County</t>
  </si>
  <si>
    <t>Census Tract 242, Lorain County</t>
  </si>
  <si>
    <t>Census Tract 281, Lorain County</t>
  </si>
  <si>
    <t>Census Tract 301.01, Lorain County</t>
  </si>
  <si>
    <t>Census Tract 301.02, Lorain County</t>
  </si>
  <si>
    <t>Census Tract 501, Lorain County</t>
  </si>
  <si>
    <t>Census Tract 502, Lorain County</t>
  </si>
  <si>
    <t>Census Tract 503.01, Lorain County</t>
  </si>
  <si>
    <t>Census Tract 503.02, Lorain County</t>
  </si>
  <si>
    <t>Census Tract 504, Lorain County</t>
  </si>
  <si>
    <t>Census Tract 571, Lorain County</t>
  </si>
  <si>
    <t>Census Tract 601, Lorain County</t>
  </si>
  <si>
    <t>Census Tract 602, Lorain County</t>
  </si>
  <si>
    <t>Census Tract 701.01, Lorain County</t>
  </si>
  <si>
    <t>Census Tract 701.02, Lorain County</t>
  </si>
  <si>
    <t>Census Tract 702, Lorain County</t>
  </si>
  <si>
    <t>Census Tract 703, Lorain County</t>
  </si>
  <si>
    <t>Census Tract 704, Lorain County</t>
  </si>
  <si>
    <t>Census Tract 705, Lorain County</t>
  </si>
  <si>
    <t>Census Tract 706, Lorain County</t>
  </si>
  <si>
    <t>Census Tract 707, Lorain County</t>
  </si>
  <si>
    <t>Census Tract 709.01, Lorain County</t>
  </si>
  <si>
    <t>Census Tract 709.02, Lorain County</t>
  </si>
  <si>
    <t>Census Tract 711, Lorain County</t>
  </si>
  <si>
    <t>Census Tract 712.01, Lorain County</t>
  </si>
  <si>
    <t>Census Tract 712.02, Lorain County</t>
  </si>
  <si>
    <t>Census Tract 713, Lorain County</t>
  </si>
  <si>
    <t>Census Tract 714, Lorain County</t>
  </si>
  <si>
    <t>Census Tract 715, Lorain County</t>
  </si>
  <si>
    <t>Census Tract 771, Lorain County</t>
  </si>
  <si>
    <t>Census Tract 801.01, Lorain County</t>
  </si>
  <si>
    <t>Census Tract 801.03, Lorain County</t>
  </si>
  <si>
    <t>Census Tract 801.04, Lorain County</t>
  </si>
  <si>
    <t>Census Tract 805, Lorain County</t>
  </si>
  <si>
    <t>Census Tract 806, Lorain County</t>
  </si>
  <si>
    <t>Census Tract 807.01, Lorain County</t>
  </si>
  <si>
    <t>Census Tract 807.02, Lorain County</t>
  </si>
  <si>
    <t>Census Tract 901, Lorain County</t>
  </si>
  <si>
    <t>Census Tract 902, Lorain County</t>
  </si>
  <si>
    <t>Census Tract 911, Lorain County</t>
  </si>
  <si>
    <t>Census Tract 912, Lorain County</t>
  </si>
  <si>
    <t>Census Tract 921, Lorain County</t>
  </si>
  <si>
    <t>Census Tract 931, Lorain County</t>
  </si>
  <si>
    <t>Census Tract 941.01, Lorain County</t>
  </si>
  <si>
    <t>Census Tract 941.02, Lorain County</t>
  </si>
  <si>
    <t>Census Tract 951, Lorain County</t>
  </si>
  <si>
    <t>Census Tract 961, Lorain County</t>
  </si>
  <si>
    <t>Census Tract 971, Lorain County</t>
  </si>
  <si>
    <t>Census Tract 972.01, Lorain County</t>
  </si>
  <si>
    <t>Census Tract 972.02, Lorain County</t>
  </si>
  <si>
    <t>Census Tract 973, Lorain County</t>
  </si>
  <si>
    <t>Census Tract 974.01, Lorain County</t>
  </si>
  <si>
    <t>Census Tract 974.02, Lorain County</t>
  </si>
  <si>
    <t>Census Tract 975, Lorain County</t>
  </si>
  <si>
    <t>Census Tract 976, Lorain County</t>
  </si>
  <si>
    <t>Census Tract 9902, Lorain County</t>
  </si>
  <si>
    <t>Census Tract 2.01, Lucas County</t>
  </si>
  <si>
    <t>Census Tract 2.02, Lucas County</t>
  </si>
  <si>
    <t>Census Tract 3.01, Lucas County</t>
  </si>
  <si>
    <t>Census Tract 3.02, Lucas County</t>
  </si>
  <si>
    <t>Census Tract 4, Lucas County</t>
  </si>
  <si>
    <t>Census Tract 6.01, Lucas County</t>
  </si>
  <si>
    <t>Census Tract 6.02, Lucas County</t>
  </si>
  <si>
    <t>Census Tract 7.01, Lucas County</t>
  </si>
  <si>
    <t>Census Tract 7.02, Lucas County</t>
  </si>
  <si>
    <t>Census Tract 7.03, Lucas County</t>
  </si>
  <si>
    <t>Census Tract 8, Lucas County</t>
  </si>
  <si>
    <t>Census Tract 9, Lucas County</t>
  </si>
  <si>
    <t>Census Tract 10.01, Lucas County</t>
  </si>
  <si>
    <t>Census Tract 10.02, Lucas County</t>
  </si>
  <si>
    <t>Census Tract 11, Lucas County</t>
  </si>
  <si>
    <t>Census Tract 12.01, Lucas County</t>
  </si>
  <si>
    <t>Census Tract 12.02, Lucas County</t>
  </si>
  <si>
    <t>Census Tract 13.01, Lucas County</t>
  </si>
  <si>
    <t>Census Tract 13.02, Lucas County</t>
  </si>
  <si>
    <t>Census Tract 13.03, Lucas County</t>
  </si>
  <si>
    <t>Census Tract 14, Lucas County</t>
  </si>
  <si>
    <t>Census Tract 15, Lucas County</t>
  </si>
  <si>
    <t>Census Tract 16.01, Lucas County</t>
  </si>
  <si>
    <t>Census Tract 16.02, Lucas County</t>
  </si>
  <si>
    <t>Census Tract 17, Lucas County</t>
  </si>
  <si>
    <t>Census Tract 18, Lucas County</t>
  </si>
  <si>
    <t>Census Tract 19, Lucas County</t>
  </si>
  <si>
    <t>Census Tract 20, Lucas County</t>
  </si>
  <si>
    <t>Census Tract 21, Lucas County</t>
  </si>
  <si>
    <t>Census Tract 24.01, Lucas County</t>
  </si>
  <si>
    <t>Census Tract 24.02, Lucas County</t>
  </si>
  <si>
    <t>Census Tract 25, Lucas County</t>
  </si>
  <si>
    <t>Census Tract 26, Lucas County</t>
  </si>
  <si>
    <t>Census Tract 27, Lucas County</t>
  </si>
  <si>
    <t>Census Tract 28, Lucas County</t>
  </si>
  <si>
    <t>Census Tract 29, Lucas County</t>
  </si>
  <si>
    <t>Census Tract 30, Lucas County</t>
  </si>
  <si>
    <t>Census Tract 31, Lucas County</t>
  </si>
  <si>
    <t>Census Tract 32, Lucas County</t>
  </si>
  <si>
    <t>Census Tract 33, Lucas County</t>
  </si>
  <si>
    <t>Census Tract 35, Lucas County</t>
  </si>
  <si>
    <t>Census Tract 36, Lucas County</t>
  </si>
  <si>
    <t>Census Tract 39.01, Lucas County</t>
  </si>
  <si>
    <t>Census Tract 39.02, Lucas County</t>
  </si>
  <si>
    <t>Census Tract 40, Lucas County</t>
  </si>
  <si>
    <t>Census Tract 42, Lucas County</t>
  </si>
  <si>
    <t>Census Tract 44.01, Lucas County</t>
  </si>
  <si>
    <t>Census Tract 44.02, Lucas County</t>
  </si>
  <si>
    <t>Census Tract 45.01, Lucas County</t>
  </si>
  <si>
    <t>Census Tract 45.03, Lucas County</t>
  </si>
  <si>
    <t>Census Tract 45.04, Lucas County</t>
  </si>
  <si>
    <t>Census Tract 46, Lucas County</t>
  </si>
  <si>
    <t>Census Tract 47.01, Lucas County</t>
  </si>
  <si>
    <t>Census Tract 47.02, Lucas County</t>
  </si>
  <si>
    <t>Census Tract 48, Lucas County</t>
  </si>
  <si>
    <t>Census Tract 49, Lucas County</t>
  </si>
  <si>
    <t>Census Tract 50, Lucas County</t>
  </si>
  <si>
    <t>Census Tract 51.01, Lucas County</t>
  </si>
  <si>
    <t>Census Tract 51.02, Lucas County</t>
  </si>
  <si>
    <t>Census Tract 52, Lucas County</t>
  </si>
  <si>
    <t>Census Tract 53, Lucas County</t>
  </si>
  <si>
    <t>Census Tract 54, Lucas County</t>
  </si>
  <si>
    <t>Census Tract 55.01, Lucas County</t>
  </si>
  <si>
    <t>Census Tract 55.02, Lucas County</t>
  </si>
  <si>
    <t>Census Tract 55.03, Lucas County</t>
  </si>
  <si>
    <t>Census Tract 56.01, Lucas County</t>
  </si>
  <si>
    <t>Census Tract 56.02, Lucas County</t>
  </si>
  <si>
    <t>Census Tract 57.01, Lucas County</t>
  </si>
  <si>
    <t>Census Tract 57.03, Lucas County</t>
  </si>
  <si>
    <t>Census Tract 57.04, Lucas County</t>
  </si>
  <si>
    <t>Census Tract 57.05, Lucas County</t>
  </si>
  <si>
    <t>Census Tract 58.01, Lucas County</t>
  </si>
  <si>
    <t>Census Tract 58.03, Lucas County</t>
  </si>
  <si>
    <t>Census Tract 58.04, Lucas County</t>
  </si>
  <si>
    <t>Census Tract 59.01, Lucas County</t>
  </si>
  <si>
    <t>Census Tract 59.02, Lucas County</t>
  </si>
  <si>
    <t>Census Tract 60, Lucas County</t>
  </si>
  <si>
    <t>Census Tract 61, Lucas County</t>
  </si>
  <si>
    <t>Census Tract 62, Lucas County</t>
  </si>
  <si>
    <t>Census Tract 63, Lucas County</t>
  </si>
  <si>
    <t>Census Tract 64, Lucas County</t>
  </si>
  <si>
    <t>Census Tract 65, Lucas County</t>
  </si>
  <si>
    <t>Census Tract 66, Lucas County</t>
  </si>
  <si>
    <t>Census Tract 67, Lucas County</t>
  </si>
  <si>
    <t>Census Tract 68.01, Lucas County</t>
  </si>
  <si>
    <t>Census Tract 68.02, Lucas County</t>
  </si>
  <si>
    <t>Census Tract 69, Lucas County</t>
  </si>
  <si>
    <t>Census Tract 70.02, Lucas County</t>
  </si>
  <si>
    <t>Census Tract 70.03, Lucas County</t>
  </si>
  <si>
    <t>Census Tract 70.04, Lucas County</t>
  </si>
  <si>
    <t>Census Tract 71.02, Lucas County</t>
  </si>
  <si>
    <t>Census Tract 71.03, Lucas County</t>
  </si>
  <si>
    <t>Census Tract 71.04, Lucas County</t>
  </si>
  <si>
    <t>Census Tract 72.02, Lucas County</t>
  </si>
  <si>
    <t>Census Tract 72.04, Lucas County</t>
  </si>
  <si>
    <t>Census Tract 72.06, Lucas County</t>
  </si>
  <si>
    <t>Census Tract 72.07, Lucas County</t>
  </si>
  <si>
    <t>Census Tract 72.08, Lucas County</t>
  </si>
  <si>
    <t>Census Tract 72.09, Lucas County</t>
  </si>
  <si>
    <t>Census Tract 73.02, Lucas County</t>
  </si>
  <si>
    <t>Census Tract 73.04, Lucas County</t>
  </si>
  <si>
    <t>Census Tract 73.05, Lucas County</t>
  </si>
  <si>
    <t>Census Tract 73.06, Lucas County</t>
  </si>
  <si>
    <t>Census Tract 73.07, Lucas County</t>
  </si>
  <si>
    <t>Census Tract 74.01, Lucas County</t>
  </si>
  <si>
    <t>Census Tract 74.02, Lucas County</t>
  </si>
  <si>
    <t>Census Tract 75.01, Lucas County</t>
  </si>
  <si>
    <t>Census Tract 75.02, Lucas County</t>
  </si>
  <si>
    <t>Census Tract 76, Lucas County</t>
  </si>
  <si>
    <t>Census Tract 77, Lucas County</t>
  </si>
  <si>
    <t>Census Tract 78.01, Lucas County</t>
  </si>
  <si>
    <t>Census Tract 78.02, Lucas County</t>
  </si>
  <si>
    <t>Census Tract 79.01, Lucas County</t>
  </si>
  <si>
    <t>Census Tract 79.03, Lucas County</t>
  </si>
  <si>
    <t>Census Tract 79.04, Lucas County</t>
  </si>
  <si>
    <t>Census Tract 80, Lucas County</t>
  </si>
  <si>
    <t>Census Tract 81, Lucas County</t>
  </si>
  <si>
    <t>Census Tract 82.04, Lucas County</t>
  </si>
  <si>
    <t>Census Tract 82.05, Lucas County</t>
  </si>
  <si>
    <t>Census Tract 82.06, Lucas County</t>
  </si>
  <si>
    <t>Census Tract 82.07, Lucas County</t>
  </si>
  <si>
    <t>Census Tract 82.08, Lucas County</t>
  </si>
  <si>
    <t>Census Tract 82.09, Lucas County</t>
  </si>
  <si>
    <t>Census Tract 82.1, Lucas County</t>
  </si>
  <si>
    <t>Census Tract 83.02, Lucas County</t>
  </si>
  <si>
    <t>Census Tract 83.03, Lucas County</t>
  </si>
  <si>
    <t>Census Tract 83.04, Lucas County</t>
  </si>
  <si>
    <t>Census Tract 84.01, Lucas County</t>
  </si>
  <si>
    <t>Census Tract 84.02, Lucas County</t>
  </si>
  <si>
    <t>Census Tract 85.01, Lucas County</t>
  </si>
  <si>
    <t>Census Tract 85.02, Lucas County</t>
  </si>
  <si>
    <t>Census Tract 86.01, Lucas County</t>
  </si>
  <si>
    <t>Census Tract 86.02, Lucas County</t>
  </si>
  <si>
    <t>Census Tract 87.01, Lucas County</t>
  </si>
  <si>
    <t>Census Tract 87.02, Lucas County</t>
  </si>
  <si>
    <t>Census Tract 87.03, Lucas County</t>
  </si>
  <si>
    <t>Census Tract 88.01, Lucas County</t>
  </si>
  <si>
    <t>Census Tract 88.02, Lucas County</t>
  </si>
  <si>
    <t>Census Tract 89.03, Lucas County</t>
  </si>
  <si>
    <t>Census Tract 89.04, Lucas County</t>
  </si>
  <si>
    <t>Census Tract 89.05, Lucas County</t>
  </si>
  <si>
    <t>Census Tract 89.06, Lucas County</t>
  </si>
  <si>
    <t>Census Tract 90.01, Lucas County</t>
  </si>
  <si>
    <t>Census Tract 90.02, Lucas County</t>
  </si>
  <si>
    <t>Census Tract 90.03, Lucas County</t>
  </si>
  <si>
    <t>Census Tract 91.01, Lucas County</t>
  </si>
  <si>
    <t>Census Tract 91.03, Lucas County</t>
  </si>
  <si>
    <t>Census Tract 91.04, Lucas County</t>
  </si>
  <si>
    <t>Census Tract 92.03, Lucas County</t>
  </si>
  <si>
    <t>Census Tract 92.04, Lucas County</t>
  </si>
  <si>
    <t>Census Tract 92.05, Lucas County</t>
  </si>
  <si>
    <t>Census Tract 92.06, Lucas County</t>
  </si>
  <si>
    <t>Census Tract 93, Lucas County</t>
  </si>
  <si>
    <t>Census Tract 94, Lucas County</t>
  </si>
  <si>
    <t>Census Tract 95, Lucas County</t>
  </si>
  <si>
    <t>Census Tract 96, Lucas County</t>
  </si>
  <si>
    <t>Census Tract 97, Lucas County</t>
  </si>
  <si>
    <t>Census Tract 98, Lucas County</t>
  </si>
  <si>
    <t>Census Tract 99.01, Lucas County</t>
  </si>
  <si>
    <t>Census Tract 99.02, Lucas County</t>
  </si>
  <si>
    <t>Census Tract 100.01, Lucas County</t>
  </si>
  <si>
    <t>Census Tract 100.02, Lucas County</t>
  </si>
  <si>
    <t>Census Tract 101, Lucas County</t>
  </si>
  <si>
    <t>Census Tract 102, Lucas County</t>
  </si>
  <si>
    <t>Census Tract 103, Lucas County</t>
  </si>
  <si>
    <t>Census Tract 104, Lucas County</t>
  </si>
  <si>
    <t>Census Tract 105, Lucas County</t>
  </si>
  <si>
    <t>Census Tract 106, Lucas County</t>
  </si>
  <si>
    <t>Census Tract 9900, Lucas County</t>
  </si>
  <si>
    <t>Census Tract 401.01, Madison County</t>
  </si>
  <si>
    <t>Census Tract 401.02, Madison County</t>
  </si>
  <si>
    <t>Census Tract 402.01, Madison County</t>
  </si>
  <si>
    <t>Census Tract 402.02, Madison County</t>
  </si>
  <si>
    <t>Census Tract 404, Madison County</t>
  </si>
  <si>
    <t>Census Tract 405, Madison County</t>
  </si>
  <si>
    <t>Census Tract 406, Madison County</t>
  </si>
  <si>
    <t>Census Tract 407, Madison County</t>
  </si>
  <si>
    <t>Census Tract 410, Madison County</t>
  </si>
  <si>
    <t>Census Tract 411, Madison County</t>
  </si>
  <si>
    <t>Census Tract 412, Madison County</t>
  </si>
  <si>
    <t>Census Tract 413, Madison County</t>
  </si>
  <si>
    <t>Census Tract 8005.01, Mahoning County</t>
  </si>
  <si>
    <t>Census Tract 8005.02, Mahoning County</t>
  </si>
  <si>
    <t>Census Tract 8006, Mahoning County</t>
  </si>
  <si>
    <t>Census Tract 8010, Mahoning County</t>
  </si>
  <si>
    <t>Census Tract 8011, Mahoning County</t>
  </si>
  <si>
    <t>Census Tract 8012, Mahoning County</t>
  </si>
  <si>
    <t>Census Tract 8013, Mahoning County</t>
  </si>
  <si>
    <t>Census Tract 8014, Mahoning County</t>
  </si>
  <si>
    <t>Census Tract 8015, Mahoning County</t>
  </si>
  <si>
    <t>Census Tract 8016, Mahoning County</t>
  </si>
  <si>
    <t>Census Tract 8017, Mahoning County</t>
  </si>
  <si>
    <t>Census Tract 8021, Mahoning County</t>
  </si>
  <si>
    <t>Census Tract 8023, Mahoning County</t>
  </si>
  <si>
    <t>Census Tract 8024, Mahoning County</t>
  </si>
  <si>
    <t>Census Tract 8025, Mahoning County</t>
  </si>
  <si>
    <t>Census Tract 8026, Mahoning County</t>
  </si>
  <si>
    <t>Census Tract 8027.01, Mahoning County</t>
  </si>
  <si>
    <t>Census Tract 8027.02, Mahoning County</t>
  </si>
  <si>
    <t>Census Tract 8028, Mahoning County</t>
  </si>
  <si>
    <t>Census Tract 8029, Mahoning County</t>
  </si>
  <si>
    <t>Census Tract 8030, Mahoning County</t>
  </si>
  <si>
    <t>Census Tract 8040, Mahoning County</t>
  </si>
  <si>
    <t>Census Tract 8041, Mahoning County</t>
  </si>
  <si>
    <t>Census Tract 8042, Mahoning County</t>
  </si>
  <si>
    <t>Census Tract 8043, Mahoning County</t>
  </si>
  <si>
    <t>Census Tract 8101, Mahoning County</t>
  </si>
  <si>
    <t>Census Tract 8102, Mahoning County</t>
  </si>
  <si>
    <t>Census Tract 8103, Mahoning County</t>
  </si>
  <si>
    <t>Census Tract 8106, Mahoning County</t>
  </si>
  <si>
    <t>Census Tract 8107, Mahoning County</t>
  </si>
  <si>
    <t>Census Tract 8108, Mahoning County</t>
  </si>
  <si>
    <t>Census Tract 8109, Mahoning County</t>
  </si>
  <si>
    <t>Census Tract 8110.01, Mahoning County</t>
  </si>
  <si>
    <t>Census Tract 8110.02, Mahoning County</t>
  </si>
  <si>
    <t>Census Tract 8111, Mahoning County</t>
  </si>
  <si>
    <t>Census Tract 8112, Mahoning County</t>
  </si>
  <si>
    <t>Census Tract 8113.01, Mahoning County</t>
  </si>
  <si>
    <t>Census Tract 8113.02, Mahoning County</t>
  </si>
  <si>
    <t>Census Tract 8114, Mahoning County</t>
  </si>
  <si>
    <t>Census Tract 8115, Mahoning County</t>
  </si>
  <si>
    <t>Census Tract 8116, Mahoning County</t>
  </si>
  <si>
    <t>Census Tract 8117, Mahoning County</t>
  </si>
  <si>
    <t>Census Tract 8118, Mahoning County</t>
  </si>
  <si>
    <t>Census Tract 8119.01, Mahoning County</t>
  </si>
  <si>
    <t>Census Tract 8119.02, Mahoning County</t>
  </si>
  <si>
    <t>Census Tract 8120.01, Mahoning County</t>
  </si>
  <si>
    <t>Census Tract 8120.02, Mahoning County</t>
  </si>
  <si>
    <t>Census Tract 8121.01, Mahoning County</t>
  </si>
  <si>
    <t>Census Tract 8121.02, Mahoning County</t>
  </si>
  <si>
    <t>Census Tract 8122, Mahoning County</t>
  </si>
  <si>
    <t>Census Tract 8123.01, Mahoning County</t>
  </si>
  <si>
    <t>Census Tract 8123.02, Mahoning County</t>
  </si>
  <si>
    <t>Census Tract 8124, Mahoning County</t>
  </si>
  <si>
    <t>Census Tract 8125, Mahoning County</t>
  </si>
  <si>
    <t>Census Tract 8126.01, Mahoning County</t>
  </si>
  <si>
    <t>Census Tract 8126.02, Mahoning County</t>
  </si>
  <si>
    <t>Census Tract 8126.04, Mahoning County</t>
  </si>
  <si>
    <t>Census Tract 8126.05, Mahoning County</t>
  </si>
  <si>
    <t>Census Tract 8127, Mahoning County</t>
  </si>
  <si>
    <t>Census Tract 8128, Mahoning County</t>
  </si>
  <si>
    <t>Census Tract 8129, Mahoning County</t>
  </si>
  <si>
    <t>Census Tract 8130, Mahoning County</t>
  </si>
  <si>
    <t>Census Tract 8132, Mahoning County</t>
  </si>
  <si>
    <t>Census Tract 8133, Mahoning County</t>
  </si>
  <si>
    <t>Census Tract 8134, Mahoning County</t>
  </si>
  <si>
    <t>Census Tract 8135.01, Mahoning County</t>
  </si>
  <si>
    <t>Census Tract 8135.02, Mahoning County</t>
  </si>
  <si>
    <t>Census Tract 8136.01, Mahoning County</t>
  </si>
  <si>
    <t>Census Tract 8136.02, Mahoning County</t>
  </si>
  <si>
    <t>Census Tract 8137, Mahoning County</t>
  </si>
  <si>
    <t>Census Tract 8138, Mahoning County</t>
  </si>
  <si>
    <t>Census Tract 8139, Mahoning County</t>
  </si>
  <si>
    <t>Census Tract 8140, Mahoning County</t>
  </si>
  <si>
    <t>Census Tract 8141, Mahoning County</t>
  </si>
  <si>
    <t>Census Tract 8142, Mahoning County</t>
  </si>
  <si>
    <t>Census Tract 1, Marion County</t>
  </si>
  <si>
    <t>Census Tract 2, Marion County</t>
  </si>
  <si>
    <t>Census Tract 3, Marion County</t>
  </si>
  <si>
    <t>Census Tract 4, Marion County</t>
  </si>
  <si>
    <t>Census Tract 5.01, Marion County</t>
  </si>
  <si>
    <t>Census Tract 5.02, Marion County</t>
  </si>
  <si>
    <t>Census Tract 6, Marion County</t>
  </si>
  <si>
    <t>Census Tract 7, Marion County</t>
  </si>
  <si>
    <t>Census Tract 8, Marion County</t>
  </si>
  <si>
    <t>Census Tract 9, Marion County</t>
  </si>
  <si>
    <t>Census Tract 10, Marion County</t>
  </si>
  <si>
    <t>Census Tract 11, Marion County</t>
  </si>
  <si>
    <t>Census Tract 101, Marion County</t>
  </si>
  <si>
    <t>Census Tract 102.01, Marion County</t>
  </si>
  <si>
    <t>Census Tract 102.02, Marion County</t>
  </si>
  <si>
    <t>Census Tract 103, Marion County</t>
  </si>
  <si>
    <t>Census Tract 104, Marion County</t>
  </si>
  <si>
    <t>Census Tract 105, Marion County</t>
  </si>
  <si>
    <t>Census Tract 4001, Medina County</t>
  </si>
  <si>
    <t>Census Tract 4020, Medina County</t>
  </si>
  <si>
    <t>Census Tract 4030.01, Medina County</t>
  </si>
  <si>
    <t>Census Tract 4030.02, Medina County</t>
  </si>
  <si>
    <t>Census Tract 4040, Medina County</t>
  </si>
  <si>
    <t>Census Tract 4050, Medina County</t>
  </si>
  <si>
    <t>Census Tract 4060, Medina County</t>
  </si>
  <si>
    <t>Census Tract 4070, Medina County</t>
  </si>
  <si>
    <t>Census Tract 4080.01, Medina County</t>
  </si>
  <si>
    <t>Census Tract 4080.02, Medina County</t>
  </si>
  <si>
    <t>Census Tract 4080.03, Medina County</t>
  </si>
  <si>
    <t>Census Tract 4081.01, Medina County</t>
  </si>
  <si>
    <t>Census Tract 4081.02, Medina County</t>
  </si>
  <si>
    <t>Census Tract 4082.01, Medina County</t>
  </si>
  <si>
    <t>Census Tract 4082.02, Medina County</t>
  </si>
  <si>
    <t>Census Tract 4083.01, Medina County</t>
  </si>
  <si>
    <t>Census Tract 4083.03, Medina County</t>
  </si>
  <si>
    <t>Census Tract 4083.04, Medina County</t>
  </si>
  <si>
    <t>Census Tract 4083.05, Medina County</t>
  </si>
  <si>
    <t>Census Tract 4090.01, Medina County</t>
  </si>
  <si>
    <t>Census Tract 4090.02, Medina County</t>
  </si>
  <si>
    <t>Census Tract 4100, Medina County</t>
  </si>
  <si>
    <t>Census Tract 4110.01, Medina County</t>
  </si>
  <si>
    <t>Census Tract 4110.02, Medina County</t>
  </si>
  <si>
    <t>Census Tract 4120, Medina County</t>
  </si>
  <si>
    <t>Census Tract 4130, Medina County</t>
  </si>
  <si>
    <t>Census Tract 4151, Medina County</t>
  </si>
  <si>
    <t>Census Tract 4152, Medina County</t>
  </si>
  <si>
    <t>Census Tract 4153, Medina County</t>
  </si>
  <si>
    <t>Census Tract 4154, Medina County</t>
  </si>
  <si>
    <t>Census Tract 4158.01, Medina County</t>
  </si>
  <si>
    <t>Census Tract 4158.02, Medina County</t>
  </si>
  <si>
    <t>Census Tract 4160, Medina County</t>
  </si>
  <si>
    <t>Census Tract 4161, Medina County</t>
  </si>
  <si>
    <t>Census Tract 4162, Medina County</t>
  </si>
  <si>
    <t>Census Tract 4163, Medina County</t>
  </si>
  <si>
    <t>Census Tract 4164, Medina County</t>
  </si>
  <si>
    <t>Census Tract 4170.01, Medina County</t>
  </si>
  <si>
    <t>Census Tract 4170.02, Medina County</t>
  </si>
  <si>
    <t>Census Tract 4171, Medina County</t>
  </si>
  <si>
    <t>Census Tract 4172, Medina County</t>
  </si>
  <si>
    <t>Census Tract 4173, Medina County</t>
  </si>
  <si>
    <t>Census Tract 9641, Meigs County</t>
  </si>
  <si>
    <t>Census Tract 9642, Meigs County</t>
  </si>
  <si>
    <t>Census Tract 9643, Meigs County</t>
  </si>
  <si>
    <t>Census Tract 9644, Meigs County</t>
  </si>
  <si>
    <t>Census Tract 9645, Meigs County</t>
  </si>
  <si>
    <t>Census Tract 9646, Meigs County</t>
  </si>
  <si>
    <t>Census Tract 9672, Mercer County</t>
  </si>
  <si>
    <t>Census Tract 9673, Mercer County</t>
  </si>
  <si>
    <t>Census Tract 9674, Mercer County</t>
  </si>
  <si>
    <t>Census Tract 9675, Mercer County</t>
  </si>
  <si>
    <t>Census Tract 9676, Mercer County</t>
  </si>
  <si>
    <t>Census Tract 9677, Mercer County</t>
  </si>
  <si>
    <t>Census Tract 9678, Mercer County</t>
  </si>
  <si>
    <t>Census Tract 9679, Mercer County</t>
  </si>
  <si>
    <t>Census Tract 9680, Mercer County</t>
  </si>
  <si>
    <t>Census Tract 3001, Miami County</t>
  </si>
  <si>
    <t>Census Tract 3150.01, Miami County</t>
  </si>
  <si>
    <t>Census Tract 3150.02, Miami County</t>
  </si>
  <si>
    <t>Census Tract 3151, Miami County</t>
  </si>
  <si>
    <t>Census Tract 3153, Miami County</t>
  </si>
  <si>
    <t>Census Tract 3201, Miami County</t>
  </si>
  <si>
    <t>Census Tract 3250, Miami County</t>
  </si>
  <si>
    <t>Census Tract 3301, Miami County</t>
  </si>
  <si>
    <t>Census Tract 3401, Miami County</t>
  </si>
  <si>
    <t>Census Tract 3450, Miami County</t>
  </si>
  <si>
    <t>Census Tract 3501.01, Miami County</t>
  </si>
  <si>
    <t>Census Tract 3501.02, Miami County</t>
  </si>
  <si>
    <t>Census Tract 3550.01, Miami County</t>
  </si>
  <si>
    <t>Census Tract 3550.02, Miami County</t>
  </si>
  <si>
    <t>Census Tract 3650.01, Miami County</t>
  </si>
  <si>
    <t>Census Tract 3650.02, Miami County</t>
  </si>
  <si>
    <t>Census Tract 3651.01, Miami County</t>
  </si>
  <si>
    <t>Census Tract 3651.02, Miami County</t>
  </si>
  <si>
    <t>Census Tract 3652, Miami County</t>
  </si>
  <si>
    <t>Census Tract 3653.01, Miami County</t>
  </si>
  <si>
    <t>Census Tract 3653.02, Miami County</t>
  </si>
  <si>
    <t>Census Tract 3801, Miami County</t>
  </si>
  <si>
    <t>Census Tract 3901, Miami County</t>
  </si>
  <si>
    <t>Census Tract 9666, Monroe County</t>
  </si>
  <si>
    <t>Census Tract 9667, Monroe County</t>
  </si>
  <si>
    <t>Census Tract 9668, Monroe County</t>
  </si>
  <si>
    <t>Census Tract 9669, Monroe County</t>
  </si>
  <si>
    <t>Census Tract 1, Montgomery County</t>
  </si>
  <si>
    <t>Census Tract 2, Montgomery County</t>
  </si>
  <si>
    <t>Census Tract 3, Montgomery County</t>
  </si>
  <si>
    <t>Census Tract 4, Montgomery County</t>
  </si>
  <si>
    <t>Census Tract 5, Montgomery County</t>
  </si>
  <si>
    <t>Census Tract 6, Montgomery County</t>
  </si>
  <si>
    <t>Census Tract 7, Montgomery County</t>
  </si>
  <si>
    <t>Census Tract 8.01, Montgomery County</t>
  </si>
  <si>
    <t>Census Tract 8.02, Montgomery County</t>
  </si>
  <si>
    <t>Census Tract 9, Montgomery County</t>
  </si>
  <si>
    <t>Census Tract 10, Montgomery County</t>
  </si>
  <si>
    <t>Census Tract 11, Montgomery County</t>
  </si>
  <si>
    <t>Census Tract 12, Montgomery County</t>
  </si>
  <si>
    <t>Census Tract 15.01, Montgomery County</t>
  </si>
  <si>
    <t>Census Tract 16, Montgomery County</t>
  </si>
  <si>
    <t>Census Tract 17, Montgomery County</t>
  </si>
  <si>
    <t>Census Tract 18.01, Montgomery County</t>
  </si>
  <si>
    <t>Census Tract 18.02, Montgomery County</t>
  </si>
  <si>
    <t>Census Tract 19, Montgomery County</t>
  </si>
  <si>
    <t>Census Tract 20, Montgomery County</t>
  </si>
  <si>
    <t>Census Tract 22, Montgomery County</t>
  </si>
  <si>
    <t>Census Tract 23, Montgomery County</t>
  </si>
  <si>
    <t>Census Tract 24, Montgomery County</t>
  </si>
  <si>
    <t>Census Tract 25, Montgomery County</t>
  </si>
  <si>
    <t>Census Tract 26, Montgomery County</t>
  </si>
  <si>
    <t>Census Tract 27, Montgomery County</t>
  </si>
  <si>
    <t>Census Tract 28, Montgomery County</t>
  </si>
  <si>
    <t>Census Tract 29, Montgomery County</t>
  </si>
  <si>
    <t>Census Tract 30, Montgomery County</t>
  </si>
  <si>
    <t>Census Tract 31, Montgomery County</t>
  </si>
  <si>
    <t>Census Tract 32.01, Montgomery County</t>
  </si>
  <si>
    <t>Census Tract 33, Montgomery County</t>
  </si>
  <si>
    <t>Census Tract 34.02, Montgomery County</t>
  </si>
  <si>
    <t>Census Tract 34.03, Montgomery County</t>
  </si>
  <si>
    <t>Census Tract 34.04, Montgomery County</t>
  </si>
  <si>
    <t>Census Tract 35, Montgomery County</t>
  </si>
  <si>
    <t>Census Tract 38, Montgomery County</t>
  </si>
  <si>
    <t>Census Tract 39, Montgomery County</t>
  </si>
  <si>
    <t>Census Tract 41, Montgomery County</t>
  </si>
  <si>
    <t>Census Tract 42, Montgomery County</t>
  </si>
  <si>
    <t>Census Tract 43, Montgomery County</t>
  </si>
  <si>
    <t>Census Tract 44, Montgomery County</t>
  </si>
  <si>
    <t>Census Tract 46, Montgomery County</t>
  </si>
  <si>
    <t>Census Tract 101, Montgomery County</t>
  </si>
  <si>
    <t>Census Tract 102, Montgomery County</t>
  </si>
  <si>
    <t>Census Tract 201, Montgomery County</t>
  </si>
  <si>
    <t>Census Tract 202, Montgomery County</t>
  </si>
  <si>
    <t>Census Tract 203, Montgomery County</t>
  </si>
  <si>
    <t>Census Tract 204, Montgomery County</t>
  </si>
  <si>
    <t>Census Tract 205, Montgomery County</t>
  </si>
  <si>
    <t>Census Tract 206.01, Montgomery County</t>
  </si>
  <si>
    <t>Census Tract 206.02, Montgomery County</t>
  </si>
  <si>
    <t>Census Tract 207, Montgomery County</t>
  </si>
  <si>
    <t>Census Tract 208, Montgomery County</t>
  </si>
  <si>
    <t>Census Tract 209, Montgomery County</t>
  </si>
  <si>
    <t>Census Tract 210, Montgomery County</t>
  </si>
  <si>
    <t>Census Tract 211, Montgomery County</t>
  </si>
  <si>
    <t>Census Tract 212, Montgomery County</t>
  </si>
  <si>
    <t>Census Tract 213.01, Montgomery County</t>
  </si>
  <si>
    <t>Census Tract 213.02, Montgomery County</t>
  </si>
  <si>
    <t>Census Tract 214, Montgomery County</t>
  </si>
  <si>
    <t>Census Tract 215.01, Montgomery County</t>
  </si>
  <si>
    <t>Census Tract 215.02, Montgomery County</t>
  </si>
  <si>
    <t>Census Tract 216.01, Montgomery County</t>
  </si>
  <si>
    <t>Census Tract 216.02, Montgomery County</t>
  </si>
  <si>
    <t>Census Tract 217, Montgomery County</t>
  </si>
  <si>
    <t>Census Tract 218, Montgomery County</t>
  </si>
  <si>
    <t>Census Tract 219, Montgomery County</t>
  </si>
  <si>
    <t>Census Tract 301, Montgomery County</t>
  </si>
  <si>
    <t>Census Tract 302, Montgomery County</t>
  </si>
  <si>
    <t>Census Tract 401.01, Montgomery County</t>
  </si>
  <si>
    <t>Census Tract 401.02, Montgomery County</t>
  </si>
  <si>
    <t>Census Tract 401.03, Montgomery County</t>
  </si>
  <si>
    <t>Census Tract 402.01, Montgomery County</t>
  </si>
  <si>
    <t>Census Tract 402.03, Montgomery County</t>
  </si>
  <si>
    <t>Census Tract 402.04, Montgomery County</t>
  </si>
  <si>
    <t>Census Tract 403.02, Montgomery County</t>
  </si>
  <si>
    <t>Census Tract 403.03, Montgomery County</t>
  </si>
  <si>
    <t>Census Tract 403.05, Montgomery County</t>
  </si>
  <si>
    <t>Census Tract 403.06, Montgomery County</t>
  </si>
  <si>
    <t>Census Tract 404.01, Montgomery County</t>
  </si>
  <si>
    <t>Census Tract 404.03, Montgomery County</t>
  </si>
  <si>
    <t>Census Tract 404.05, Montgomery County</t>
  </si>
  <si>
    <t>Census Tract 404.06, Montgomery County</t>
  </si>
  <si>
    <t>Census Tract 501.01, Montgomery County</t>
  </si>
  <si>
    <t>Census Tract 501.04, Montgomery County</t>
  </si>
  <si>
    <t>Census Tract 501.05, Montgomery County</t>
  </si>
  <si>
    <t>Census Tract 501.06, Montgomery County</t>
  </si>
  <si>
    <t>Census Tract 501.07, Montgomery County</t>
  </si>
  <si>
    <t>Census Tract 503.01, Montgomery County</t>
  </si>
  <si>
    <t>Census Tract 503.02, Montgomery County</t>
  </si>
  <si>
    <t>Census Tract 503.03, Montgomery County</t>
  </si>
  <si>
    <t>Census Tract 504.01, Montgomery County</t>
  </si>
  <si>
    <t>Census Tract 504.02, Montgomery County</t>
  </si>
  <si>
    <t>Census Tract 505.02, Montgomery County</t>
  </si>
  <si>
    <t>Census Tract 505.03, Montgomery County</t>
  </si>
  <si>
    <t>Census Tract 505.04, Montgomery County</t>
  </si>
  <si>
    <t>Census Tract 506, Montgomery County</t>
  </si>
  <si>
    <t>Census Tract 601, Montgomery County</t>
  </si>
  <si>
    <t>Census Tract 602, Montgomery County</t>
  </si>
  <si>
    <t>Census Tract 603, Montgomery County</t>
  </si>
  <si>
    <t>Census Tract 701.01, Montgomery County</t>
  </si>
  <si>
    <t>Census Tract 701.02, Montgomery County</t>
  </si>
  <si>
    <t>Census Tract 702.01, Montgomery County</t>
  </si>
  <si>
    <t>Census Tract 702.02, Montgomery County</t>
  </si>
  <si>
    <t>Census Tract 703, Montgomery County</t>
  </si>
  <si>
    <t>Census Tract 704, Montgomery County</t>
  </si>
  <si>
    <t>Census Tract 705, Montgomery County</t>
  </si>
  <si>
    <t>Census Tract 706, Montgomery County</t>
  </si>
  <si>
    <t>Census Tract 707, Montgomery County</t>
  </si>
  <si>
    <t>Census Tract 801, Montgomery County</t>
  </si>
  <si>
    <t>Census Tract 802, Montgomery County</t>
  </si>
  <si>
    <t>Census Tract 803, Montgomery County</t>
  </si>
  <si>
    <t>Census Tract 804, Montgomery County</t>
  </si>
  <si>
    <t>Census Tract 805, Montgomery County</t>
  </si>
  <si>
    <t>Census Tract 806, Montgomery County</t>
  </si>
  <si>
    <t>Census Tract 807, Montgomery County</t>
  </si>
  <si>
    <t>Census Tract 903.02, Montgomery County</t>
  </si>
  <si>
    <t>Census Tract 903.03, Montgomery County</t>
  </si>
  <si>
    <t>Census Tract 903.04, Montgomery County</t>
  </si>
  <si>
    <t>Census Tract 906, Montgomery County</t>
  </si>
  <si>
    <t>Census Tract 907, Montgomery County</t>
  </si>
  <si>
    <t>Census Tract 908, Montgomery County</t>
  </si>
  <si>
    <t>Census Tract 909, Montgomery County</t>
  </si>
  <si>
    <t>Census Tract 910, Montgomery County</t>
  </si>
  <si>
    <t>Census Tract 911, Montgomery County</t>
  </si>
  <si>
    <t>Census Tract 1001.01, Montgomery County</t>
  </si>
  <si>
    <t>Census Tract 1001.02, Montgomery County</t>
  </si>
  <si>
    <t>Census Tract 1002.01, Montgomery County</t>
  </si>
  <si>
    <t>Census Tract 1002.02, Montgomery County</t>
  </si>
  <si>
    <t>Census Tract 1002.03, Montgomery County</t>
  </si>
  <si>
    <t>Census Tract 1003.01, Montgomery County</t>
  </si>
  <si>
    <t>Census Tract 1003.02, Montgomery County</t>
  </si>
  <si>
    <t>Census Tract 1004, Montgomery County</t>
  </si>
  <si>
    <t>Census Tract 1101, Montgomery County</t>
  </si>
  <si>
    <t>Census Tract 1102.01, Montgomery County</t>
  </si>
  <si>
    <t>Census Tract 1102.02, Montgomery County</t>
  </si>
  <si>
    <t>Census Tract 1150.02, Montgomery County</t>
  </si>
  <si>
    <t>Census Tract 1150.11, Montgomery County</t>
  </si>
  <si>
    <t>Census Tract 1150.12, Montgomery County</t>
  </si>
  <si>
    <t>Census Tract 1201.01, Montgomery County</t>
  </si>
  <si>
    <t>Census Tract 1201.02, Montgomery County</t>
  </si>
  <si>
    <t>Census Tract 1201.03, Montgomery County</t>
  </si>
  <si>
    <t>Census Tract 1250, Montgomery County</t>
  </si>
  <si>
    <t>Census Tract 1251.02, Montgomery County</t>
  </si>
  <si>
    <t>Census Tract 1251.03, Montgomery County</t>
  </si>
  <si>
    <t>Census Tract 1251.04, Montgomery County</t>
  </si>
  <si>
    <t>Census Tract 1301.01, Montgomery County</t>
  </si>
  <si>
    <t>Census Tract 1301.02, Montgomery County</t>
  </si>
  <si>
    <t>Census Tract 1401, Montgomery County</t>
  </si>
  <si>
    <t>Census Tract 1501, Montgomery County</t>
  </si>
  <si>
    <t>Census Tract 1601, Montgomery County</t>
  </si>
  <si>
    <t>Census Tract 1650, Montgomery County</t>
  </si>
  <si>
    <t>Census Tract 1651, Montgomery County</t>
  </si>
  <si>
    <t>Census Tract 1652, Montgomery County</t>
  </si>
  <si>
    <t>Census Tract 9800, Montgomery County</t>
  </si>
  <si>
    <t>Census Tract 9688, Morgan County</t>
  </si>
  <si>
    <t>Census Tract 9689, Morgan County</t>
  </si>
  <si>
    <t>Census Tract 9690, Morgan County</t>
  </si>
  <si>
    <t>Census Tract 9691, Morgan County</t>
  </si>
  <si>
    <t>Census Tract 9650, Morrow County</t>
  </si>
  <si>
    <t>Census Tract 9651, Morrow County</t>
  </si>
  <si>
    <t>Census Tract 9652.01, Morrow County</t>
  </si>
  <si>
    <t>Census Tract 9652.02, Morrow County</t>
  </si>
  <si>
    <t>Census Tract 9653, Morrow County</t>
  </si>
  <si>
    <t>Census Tract 9654.01, Morrow County</t>
  </si>
  <si>
    <t>Census Tract 9654.02, Morrow County</t>
  </si>
  <si>
    <t>Census Tract 9655.01, Morrow County</t>
  </si>
  <si>
    <t>Census Tract 9655.02, Morrow County</t>
  </si>
  <si>
    <t>Census Tract 9110, Muskingum County</t>
  </si>
  <si>
    <t>Census Tract 9111, Muskingum County</t>
  </si>
  <si>
    <t>Census Tract 9112.01, Muskingum County</t>
  </si>
  <si>
    <t>Census Tract 9112.02, Muskingum County</t>
  </si>
  <si>
    <t>Census Tract 9113, Muskingum County</t>
  </si>
  <si>
    <t>Census Tract 9114, Muskingum County</t>
  </si>
  <si>
    <t>Census Tract 9115, Muskingum County</t>
  </si>
  <si>
    <t>Census Tract 9116.01, Muskingum County</t>
  </si>
  <si>
    <t>Census Tract 9116.02, Muskingum County</t>
  </si>
  <si>
    <t>Census Tract 9117, Muskingum County</t>
  </si>
  <si>
    <t>Census Tract 9118, Muskingum County</t>
  </si>
  <si>
    <t>Census Tract 9119, Muskingum County</t>
  </si>
  <si>
    <t>Census Tract 9120, Muskingum County</t>
  </si>
  <si>
    <t>Census Tract 9121, Muskingum County</t>
  </si>
  <si>
    <t>Census Tract 9122, Muskingum County</t>
  </si>
  <si>
    <t>Census Tract 9123, Muskingum County</t>
  </si>
  <si>
    <t>Census Tract 9124, Muskingum County</t>
  </si>
  <si>
    <t>Census Tract 9125, Muskingum County</t>
  </si>
  <si>
    <t>Census Tract 9126, Muskingum County</t>
  </si>
  <si>
    <t>Census Tract 9127, Muskingum County</t>
  </si>
  <si>
    <t>Census Tract 9128, Muskingum County</t>
  </si>
  <si>
    <t>Census Tract 9683, Noble County</t>
  </si>
  <si>
    <t>Census Tract 9684.01, Noble County</t>
  </si>
  <si>
    <t>Census Tract 9684.02, Noble County</t>
  </si>
  <si>
    <t>Census Tract 9685, Noble County</t>
  </si>
  <si>
    <t>Census Tract 501, Ottawa County</t>
  </si>
  <si>
    <t>Census Tract 502.01, Ottawa County</t>
  </si>
  <si>
    <t>Census Tract 502.02, Ottawa County</t>
  </si>
  <si>
    <t>Census Tract 503.01, Ottawa County</t>
  </si>
  <si>
    <t>Census Tract 503.02, Ottawa County</t>
  </si>
  <si>
    <t>Census Tract 505, Ottawa County</t>
  </si>
  <si>
    <t>Census Tract 506, Ottawa County</t>
  </si>
  <si>
    <t>Census Tract 507, Ottawa County</t>
  </si>
  <si>
    <t>Census Tract 508, Ottawa County</t>
  </si>
  <si>
    <t>Census Tract 509, Ottawa County</t>
  </si>
  <si>
    <t>Census Tract 510, Ottawa County</t>
  </si>
  <si>
    <t>Census Tract 511, Ottawa County</t>
  </si>
  <si>
    <t>Census Tract 512.01, Ottawa County</t>
  </si>
  <si>
    <t>Census Tract 512.02, Ottawa County</t>
  </si>
  <si>
    <t>Census Tract 512.03, Ottawa County</t>
  </si>
  <si>
    <t>Census Tract 9601, Paulding County</t>
  </si>
  <si>
    <t>Census Tract 9602, Paulding County</t>
  </si>
  <si>
    <t>Census Tract 9603, Paulding County</t>
  </si>
  <si>
    <t>Census Tract 9604, Paulding County</t>
  </si>
  <si>
    <t>Census Tract 9605, Paulding County</t>
  </si>
  <si>
    <t>Census Tract 9658.01, Perry County</t>
  </si>
  <si>
    <t>Census Tract 9658.02, Perry County</t>
  </si>
  <si>
    <t>Census Tract 9659.01, Perry County</t>
  </si>
  <si>
    <t>Census Tract 9659.02, Perry County</t>
  </si>
  <si>
    <t>Census Tract 9660, Perry County</t>
  </si>
  <si>
    <t>Census Tract 9661, Perry County</t>
  </si>
  <si>
    <t>Census Tract 9662, Perry County</t>
  </si>
  <si>
    <t>Census Tract 9663.01, Perry County</t>
  </si>
  <si>
    <t>Census Tract 9663.02, Perry County</t>
  </si>
  <si>
    <t>Census Tract 201, Pickaway County</t>
  </si>
  <si>
    <t>Census Tract 202, Pickaway County</t>
  </si>
  <si>
    <t>Census Tract 203.1, Pickaway County</t>
  </si>
  <si>
    <t>Census Tract 203.2, Pickaway County</t>
  </si>
  <si>
    <t>Census Tract 204, Pickaway County</t>
  </si>
  <si>
    <t>Census Tract 211.01, Pickaway County</t>
  </si>
  <si>
    <t>Census Tract 211.02, Pickaway County</t>
  </si>
  <si>
    <t>Census Tract 212.01, Pickaway County</t>
  </si>
  <si>
    <t>Census Tract 212.02, Pickaway County</t>
  </si>
  <si>
    <t>Census Tract 213, Pickaway County</t>
  </si>
  <si>
    <t>Census Tract 214.01, Pickaway County</t>
  </si>
  <si>
    <t>Census Tract 214.03, Pickaway County</t>
  </si>
  <si>
    <t>Census Tract 214.04, Pickaway County</t>
  </si>
  <si>
    <t>Census Tract 215, Pickaway County</t>
  </si>
  <si>
    <t>Census Tract 216, Pickaway County</t>
  </si>
  <si>
    <t>Census Tract 217, Pickaway County</t>
  </si>
  <si>
    <t>Census Tract 9522, Pike County</t>
  </si>
  <si>
    <t>Census Tract 9523, Pike County</t>
  </si>
  <si>
    <t>Census Tract 9524, Pike County</t>
  </si>
  <si>
    <t>Census Tract 9525, Pike County</t>
  </si>
  <si>
    <t>Census Tract 9526.01, Pike County</t>
  </si>
  <si>
    <t>Census Tract 9526.02, Pike County</t>
  </si>
  <si>
    <t>Census Tract 9527, Pike County</t>
  </si>
  <si>
    <t>Census Tract 6001.02, Portage County</t>
  </si>
  <si>
    <t>Census Tract 6001.03, Portage County</t>
  </si>
  <si>
    <t>Census Tract 6002, Portage County</t>
  </si>
  <si>
    <t>Census Tract 6003.02, Portage County</t>
  </si>
  <si>
    <t>Census Tract 6003.03, Portage County</t>
  </si>
  <si>
    <t>Census Tract 6003.04, Portage County</t>
  </si>
  <si>
    <t>Census Tract 6004.01, Portage County</t>
  </si>
  <si>
    <t>Census Tract 6004.02, Portage County</t>
  </si>
  <si>
    <t>Census Tract 6004.03, Portage County</t>
  </si>
  <si>
    <t>Census Tract 6005, Portage County</t>
  </si>
  <si>
    <t>Census Tract 6006.02, Portage County</t>
  </si>
  <si>
    <t>Census Tract 6006.03, Portage County</t>
  </si>
  <si>
    <t>Census Tract 6007.03, Portage County</t>
  </si>
  <si>
    <t>Census Tract 6007.04, Portage County</t>
  </si>
  <si>
    <t>Census Tract 6007.05, Portage County</t>
  </si>
  <si>
    <t>Census Tract 6007.06, Portage County</t>
  </si>
  <si>
    <t>Census Tract 6008, Portage County</t>
  </si>
  <si>
    <t>Census Tract 6009.01, Portage County</t>
  </si>
  <si>
    <t>Census Tract 6009.02, Portage County</t>
  </si>
  <si>
    <t>Census Tract 6010, Portage County</t>
  </si>
  <si>
    <t>Census Tract 6011, Portage County</t>
  </si>
  <si>
    <t>Census Tract 6012, Portage County</t>
  </si>
  <si>
    <t>Census Tract 6013, Portage County</t>
  </si>
  <si>
    <t>Census Tract 6014, Portage County</t>
  </si>
  <si>
    <t>Census Tract 6015.01, Portage County</t>
  </si>
  <si>
    <t>Census Tract 6015.02, Portage County</t>
  </si>
  <si>
    <t>Census Tract 6015.03, Portage County</t>
  </si>
  <si>
    <t>Census Tract 6016, Portage County</t>
  </si>
  <si>
    <t>Census Tract 6017.02, Portage County</t>
  </si>
  <si>
    <t>Census Tract 6017.03, Portage County</t>
  </si>
  <si>
    <t>Census Tract 6017.04, Portage County</t>
  </si>
  <si>
    <t>Census Tract 6018.01, Portage County</t>
  </si>
  <si>
    <t>Census Tract 6018.02, Portage County</t>
  </si>
  <si>
    <t>Census Tract 6019.01, Portage County</t>
  </si>
  <si>
    <t>Census Tract 6019.02, Portage County</t>
  </si>
  <si>
    <t>Census Tract 6020, Portage County</t>
  </si>
  <si>
    <t>Census Tract 6021.01, Portage County</t>
  </si>
  <si>
    <t>Census Tract 6021.02, Portage County</t>
  </si>
  <si>
    <t>Census Tract 4001, Preble County</t>
  </si>
  <si>
    <t>Census Tract 4101, Preble County</t>
  </si>
  <si>
    <t>Census Tract 4201, Preble County</t>
  </si>
  <si>
    <t>Census Tract 4301, Preble County</t>
  </si>
  <si>
    <t>Census Tract 4401, Preble County</t>
  </si>
  <si>
    <t>Census Tract 4501, Preble County</t>
  </si>
  <si>
    <t>Census Tract 4550.01, Preble County</t>
  </si>
  <si>
    <t>Census Tract 4550.02, Preble County</t>
  </si>
  <si>
    <t>Census Tract 4601, Preble County</t>
  </si>
  <si>
    <t>Census Tract 4701.01, Preble County</t>
  </si>
  <si>
    <t>Census Tract 4701.02, Preble County</t>
  </si>
  <si>
    <t>Census Tract 4801, Preble County</t>
  </si>
  <si>
    <t>Census Tract 301, Putnam County</t>
  </si>
  <si>
    <t>Census Tract 302, Putnam County</t>
  </si>
  <si>
    <t>Census Tract 303.01, Putnam County</t>
  </si>
  <si>
    <t>Census Tract 303.02, Putnam County</t>
  </si>
  <si>
    <t>Census Tract 304, Putnam County</t>
  </si>
  <si>
    <t>Census Tract 305, Putnam County</t>
  </si>
  <si>
    <t>Census Tract 306, Putnam County</t>
  </si>
  <si>
    <t>Census Tract 307, Putnam County</t>
  </si>
  <si>
    <t>Census Tract 4, Richland County</t>
  </si>
  <si>
    <t>Census Tract 5, Richland County</t>
  </si>
  <si>
    <t>Census Tract 6, Richland County</t>
  </si>
  <si>
    <t>Census Tract 7, Richland County</t>
  </si>
  <si>
    <t>Census Tract 8, Richland County</t>
  </si>
  <si>
    <t>Census Tract 9, Richland County</t>
  </si>
  <si>
    <t>Census Tract 10, Richland County</t>
  </si>
  <si>
    <t>Census Tract 11, Richland County</t>
  </si>
  <si>
    <t>Census Tract 12, Richland County</t>
  </si>
  <si>
    <t>Census Tract 13, Richland County</t>
  </si>
  <si>
    <t>Census Tract 14, Richland County</t>
  </si>
  <si>
    <t>Census Tract 15, Richland County</t>
  </si>
  <si>
    <t>Census Tract 16, Richland County</t>
  </si>
  <si>
    <t>Census Tract 17, Richland County</t>
  </si>
  <si>
    <t>Census Tract 18, Richland County</t>
  </si>
  <si>
    <t>Census Tract 19, Richland County</t>
  </si>
  <si>
    <t>Census Tract 20, Richland County</t>
  </si>
  <si>
    <t>Census Tract 21.01, Richland County</t>
  </si>
  <si>
    <t>Census Tract 21.02, Richland County</t>
  </si>
  <si>
    <t>Census Tract 22, Richland County</t>
  </si>
  <si>
    <t>Census Tract 23, Richland County</t>
  </si>
  <si>
    <t>Census Tract 24, Richland County</t>
  </si>
  <si>
    <t>Census Tract 25, Richland County</t>
  </si>
  <si>
    <t>Census Tract 26, Richland County</t>
  </si>
  <si>
    <t>Census Tract 27, Richland County</t>
  </si>
  <si>
    <t>Census Tract 28, Richland County</t>
  </si>
  <si>
    <t>Census Tract 29, Richland County</t>
  </si>
  <si>
    <t>Census Tract 30.01, Richland County</t>
  </si>
  <si>
    <t>Census Tract 30.02, Richland County</t>
  </si>
  <si>
    <t>Census Tract 31, Richland County</t>
  </si>
  <si>
    <t>Census Tract 9555, Ross County</t>
  </si>
  <si>
    <t>Census Tract 9556.03, Ross County</t>
  </si>
  <si>
    <t>Census Tract 9556.04, Ross County</t>
  </si>
  <si>
    <t>Census Tract 9557, Ross County</t>
  </si>
  <si>
    <t>Census Tract 9558.01, Ross County</t>
  </si>
  <si>
    <t>Census Tract 9558.02, Ross County</t>
  </si>
  <si>
    <t>Census Tract 9559, Ross County</t>
  </si>
  <si>
    <t>Census Tract 9560, Ross County</t>
  </si>
  <si>
    <t>Census Tract 9561, Ross County</t>
  </si>
  <si>
    <t>Census Tract 9562, Ross County</t>
  </si>
  <si>
    <t>Census Tract 9563, Ross County</t>
  </si>
  <si>
    <t>Census Tract 9564, Ross County</t>
  </si>
  <si>
    <t>Census Tract 9565, Ross County</t>
  </si>
  <si>
    <t>Census Tract 9566, Ross County</t>
  </si>
  <si>
    <t>Census Tract 9567, Ross County</t>
  </si>
  <si>
    <t>Census Tract 9568, Ross County</t>
  </si>
  <si>
    <t>Census Tract 9569, Ross County</t>
  </si>
  <si>
    <t>Census Tract 9608, Sandusky County</t>
  </si>
  <si>
    <t>Census Tract 9609, Sandusky County</t>
  </si>
  <si>
    <t>Census Tract 9610, Sandusky County</t>
  </si>
  <si>
    <t>Census Tract 9611, Sandusky County</t>
  </si>
  <si>
    <t>Census Tract 9612, Sandusky County</t>
  </si>
  <si>
    <t>Census Tract 9613, Sandusky County</t>
  </si>
  <si>
    <t>Census Tract 9614, Sandusky County</t>
  </si>
  <si>
    <t>Census Tract 9615, Sandusky County</t>
  </si>
  <si>
    <t>Census Tract 9616, Sandusky County</t>
  </si>
  <si>
    <t>Census Tract 9617, Sandusky County</t>
  </si>
  <si>
    <t>Census Tract 9618, Sandusky County</t>
  </si>
  <si>
    <t>Census Tract 9619, Sandusky County</t>
  </si>
  <si>
    <t>Census Tract 9620, Sandusky County</t>
  </si>
  <si>
    <t>Census Tract 9621, Sandusky County</t>
  </si>
  <si>
    <t>Census Tract 9622, Sandusky County</t>
  </si>
  <si>
    <t>Census Tract 21, Scioto County</t>
  </si>
  <si>
    <t>Census Tract 22, Scioto County</t>
  </si>
  <si>
    <t>Census Tract 23, Scioto County</t>
  </si>
  <si>
    <t>Census Tract 24, Scioto County</t>
  </si>
  <si>
    <t>Census Tract 25, Scioto County</t>
  </si>
  <si>
    <t>Census Tract 26, Scioto County</t>
  </si>
  <si>
    <t>Census Tract 27, Scioto County</t>
  </si>
  <si>
    <t>Census Tract 28, Scioto County</t>
  </si>
  <si>
    <t>Census Tract 29.01, Scioto County</t>
  </si>
  <si>
    <t>Census Tract 29.02, Scioto County</t>
  </si>
  <si>
    <t>Census Tract 30, Scioto County</t>
  </si>
  <si>
    <t>Census Tract 31, Scioto County</t>
  </si>
  <si>
    <t>Census Tract 32, Scioto County</t>
  </si>
  <si>
    <t>Census Tract 33, Scioto County</t>
  </si>
  <si>
    <t>Census Tract 34, Scioto County</t>
  </si>
  <si>
    <t>Census Tract 35, Scioto County</t>
  </si>
  <si>
    <t>Census Tract 36, Scioto County</t>
  </si>
  <si>
    <t>Census Tract 37, Scioto County</t>
  </si>
  <si>
    <t>Census Tract 38, Scioto County</t>
  </si>
  <si>
    <t>Census Tract 39, Scioto County</t>
  </si>
  <si>
    <t>Census Tract 40, Scioto County</t>
  </si>
  <si>
    <t>Census Tract 9625, Seneca County</t>
  </si>
  <si>
    <t>Census Tract 9626, Seneca County</t>
  </si>
  <si>
    <t>Census Tract 9627, Seneca County</t>
  </si>
  <si>
    <t>Census Tract 9628, Seneca County</t>
  </si>
  <si>
    <t>Census Tract 9629, Seneca County</t>
  </si>
  <si>
    <t>Census Tract 9630, Seneca County</t>
  </si>
  <si>
    <t>Census Tract 9631, Seneca County</t>
  </si>
  <si>
    <t>Census Tract 9632, Seneca County</t>
  </si>
  <si>
    <t>Census Tract 9633, Seneca County</t>
  </si>
  <si>
    <t>Census Tract 9634, Seneca County</t>
  </si>
  <si>
    <t>Census Tract 9635, Seneca County</t>
  </si>
  <si>
    <t>Census Tract 9636, Seneca County</t>
  </si>
  <si>
    <t>Census Tract 9637, Seneca County</t>
  </si>
  <si>
    <t>Census Tract 9638, Seneca County</t>
  </si>
  <si>
    <t>Census Tract 9714, Shelby County</t>
  </si>
  <si>
    <t>Census Tract 9715, Shelby County</t>
  </si>
  <si>
    <t>Census Tract 9716, Shelby County</t>
  </si>
  <si>
    <t>Census Tract 9717, Shelby County</t>
  </si>
  <si>
    <t>Census Tract 9718, Shelby County</t>
  </si>
  <si>
    <t>Census Tract 9719, Shelby County</t>
  </si>
  <si>
    <t>Census Tract 9720, Shelby County</t>
  </si>
  <si>
    <t>Census Tract 9721, Shelby County</t>
  </si>
  <si>
    <t>Census Tract 9722, Shelby County</t>
  </si>
  <si>
    <t>Census Tract 9723, Shelby County</t>
  </si>
  <si>
    <t>Census Tract 7001, Stark County</t>
  </si>
  <si>
    <t>Census Tract 7002, Stark County</t>
  </si>
  <si>
    <t>Census Tract 7003, Stark County</t>
  </si>
  <si>
    <t>Census Tract 7004, Stark County</t>
  </si>
  <si>
    <t>Census Tract 7005, Stark County</t>
  </si>
  <si>
    <t>Census Tract 7006, Stark County</t>
  </si>
  <si>
    <t>Census Tract 7007.01, Stark County</t>
  </si>
  <si>
    <t>Census Tract 7007.02, Stark County</t>
  </si>
  <si>
    <t>Census Tract 7008, Stark County</t>
  </si>
  <si>
    <t>Census Tract 7010, Stark County</t>
  </si>
  <si>
    <t>Census Tract 7011, Stark County</t>
  </si>
  <si>
    <t>Census Tract 7012, Stark County</t>
  </si>
  <si>
    <t>Census Tract 7013, Stark County</t>
  </si>
  <si>
    <t>Census Tract 7015, Stark County</t>
  </si>
  <si>
    <t>Census Tract 7017, Stark County</t>
  </si>
  <si>
    <t>Census Tract 7018, Stark County</t>
  </si>
  <si>
    <t>Census Tract 7021, Stark County</t>
  </si>
  <si>
    <t>Census Tract 7023, Stark County</t>
  </si>
  <si>
    <t>Census Tract 7025, Stark County</t>
  </si>
  <si>
    <t>Census Tract 7102, Stark County</t>
  </si>
  <si>
    <t>Census Tract 7103, Stark County</t>
  </si>
  <si>
    <t>Census Tract 7104, Stark County</t>
  </si>
  <si>
    <t>Census Tract 7105, Stark County</t>
  </si>
  <si>
    <t>Census Tract 7106, Stark County</t>
  </si>
  <si>
    <t>Census Tract 7107, Stark County</t>
  </si>
  <si>
    <t>Census Tract 7108, Stark County</t>
  </si>
  <si>
    <t>Census Tract 7109, Stark County</t>
  </si>
  <si>
    <t>Census Tract 7110.01, Stark County</t>
  </si>
  <si>
    <t>Census Tract 7110.02, Stark County</t>
  </si>
  <si>
    <t>Census Tract 7111.11, Stark County</t>
  </si>
  <si>
    <t>Census Tract 7111.12, Stark County</t>
  </si>
  <si>
    <t>Census Tract 7111.21, Stark County</t>
  </si>
  <si>
    <t>Census Tract 7111.22, Stark County</t>
  </si>
  <si>
    <t>Census Tract 7112.02, Stark County</t>
  </si>
  <si>
    <t>Census Tract 7112.11, Stark County</t>
  </si>
  <si>
    <t>Census Tract 7112.12, Stark County</t>
  </si>
  <si>
    <t>Census Tract 7113.12, Stark County</t>
  </si>
  <si>
    <t>Census Tract 7113.21, Stark County</t>
  </si>
  <si>
    <t>Census Tract 7113.22, Stark County</t>
  </si>
  <si>
    <t>Census Tract 7113.23, Stark County</t>
  </si>
  <si>
    <t>Census Tract 7113.24, Stark County</t>
  </si>
  <si>
    <t>Census Tract 7114.02, Stark County</t>
  </si>
  <si>
    <t>Census Tract 7114.11, Stark County</t>
  </si>
  <si>
    <t>Census Tract 7114.12, Stark County</t>
  </si>
  <si>
    <t>Census Tract 7115.01, Stark County</t>
  </si>
  <si>
    <t>Census Tract 7115.02, Stark County</t>
  </si>
  <si>
    <t>Census Tract 7116, Stark County</t>
  </si>
  <si>
    <t>Census Tract 7117, Stark County</t>
  </si>
  <si>
    <t>Census Tract 7118, Stark County</t>
  </si>
  <si>
    <t>Census Tract 7119, Stark County</t>
  </si>
  <si>
    <t>Census Tract 7120, Stark County</t>
  </si>
  <si>
    <t>Census Tract 7121.02, Stark County</t>
  </si>
  <si>
    <t>Census Tract 7121.12, Stark County</t>
  </si>
  <si>
    <t>Census Tract 7121.13, Stark County</t>
  </si>
  <si>
    <t>Census Tract 7121.14, Stark County</t>
  </si>
  <si>
    <t>Census Tract 7122.01, Stark County</t>
  </si>
  <si>
    <t>Census Tract 7122.02, Stark County</t>
  </si>
  <si>
    <t>Census Tract 7123, Stark County</t>
  </si>
  <si>
    <t>Census Tract 7124, Stark County</t>
  </si>
  <si>
    <t>Census Tract 7125, Stark County</t>
  </si>
  <si>
    <t>Census Tract 7126.01, Stark County</t>
  </si>
  <si>
    <t>Census Tract 7126.02, Stark County</t>
  </si>
  <si>
    <t>Census Tract 7127, Stark County</t>
  </si>
  <si>
    <t>Census Tract 7128, Stark County</t>
  </si>
  <si>
    <t>Census Tract 7129, Stark County</t>
  </si>
  <si>
    <t>Census Tract 7130, Stark County</t>
  </si>
  <si>
    <t>Census Tract 7131, Stark County</t>
  </si>
  <si>
    <t>Census Tract 7132.01, Stark County</t>
  </si>
  <si>
    <t>Census Tract 7132.02, Stark County</t>
  </si>
  <si>
    <t>Census Tract 7133, Stark County</t>
  </si>
  <si>
    <t>Census Tract 7134.01, Stark County</t>
  </si>
  <si>
    <t>Census Tract 7134.02, Stark County</t>
  </si>
  <si>
    <t>Census Tract 7135.01, Stark County</t>
  </si>
  <si>
    <t>Census Tract 7135.02, Stark County</t>
  </si>
  <si>
    <t>Census Tract 7136, Stark County</t>
  </si>
  <si>
    <t>Census Tract 7137, Stark County</t>
  </si>
  <si>
    <t>Census Tract 7139, Stark County</t>
  </si>
  <si>
    <t>Census Tract 7140, Stark County</t>
  </si>
  <si>
    <t>Census Tract 7141, Stark County</t>
  </si>
  <si>
    <t>Census Tract 7142, Stark County</t>
  </si>
  <si>
    <t>Census Tract 7143.02, Stark County</t>
  </si>
  <si>
    <t>Census Tract 7144, Stark County</t>
  </si>
  <si>
    <t>Census Tract 7146, Stark County</t>
  </si>
  <si>
    <t>Census Tract 7147.01, Stark County</t>
  </si>
  <si>
    <t>Census Tract 7147.02, Stark County</t>
  </si>
  <si>
    <t>Census Tract 7148.01, Stark County</t>
  </si>
  <si>
    <t>Census Tract 7148.02, Stark County</t>
  </si>
  <si>
    <t>Census Tract 7149.01, Stark County</t>
  </si>
  <si>
    <t>Census Tract 7149.02, Stark County</t>
  </si>
  <si>
    <t>Census Tract 7150, Stark County</t>
  </si>
  <si>
    <t>Census Tract 5011, Summit County</t>
  </si>
  <si>
    <t>Census Tract 5017, Summit County</t>
  </si>
  <si>
    <t>Census Tract 5018, Summit County</t>
  </si>
  <si>
    <t>Census Tract 5019, Summit County</t>
  </si>
  <si>
    <t>Census Tract 5021.01, Summit County</t>
  </si>
  <si>
    <t>Census Tract 5021.02, Summit County</t>
  </si>
  <si>
    <t>Census Tract 5022, Summit County</t>
  </si>
  <si>
    <t>Census Tract 5023, Summit County</t>
  </si>
  <si>
    <t>Census Tract 5025, Summit County</t>
  </si>
  <si>
    <t>Census Tract 5026, Summit County</t>
  </si>
  <si>
    <t>Census Tract 5027, Summit County</t>
  </si>
  <si>
    <t>Census Tract 5028, Summit County</t>
  </si>
  <si>
    <t>Census Tract 5031, Summit County</t>
  </si>
  <si>
    <t>Census Tract 5032, Summit County</t>
  </si>
  <si>
    <t>Census Tract 5033, Summit County</t>
  </si>
  <si>
    <t>Census Tract 5034, Summit County</t>
  </si>
  <si>
    <t>Census Tract 5035, Summit County</t>
  </si>
  <si>
    <t>Census Tract 5036, Summit County</t>
  </si>
  <si>
    <t>Census Tract 5037.01, Summit County</t>
  </si>
  <si>
    <t>Census Tract 5037.02, Summit County</t>
  </si>
  <si>
    <t>Census Tract 5038, Summit County</t>
  </si>
  <si>
    <t>Census Tract 5041, Summit County</t>
  </si>
  <si>
    <t>Census Tract 5042, Summit County</t>
  </si>
  <si>
    <t>Census Tract 5044, Summit County</t>
  </si>
  <si>
    <t>Census Tract 5045, Summit County</t>
  </si>
  <si>
    <t>Census Tract 5046, Summit County</t>
  </si>
  <si>
    <t>Census Tract 5047, Summit County</t>
  </si>
  <si>
    <t>Census Tract 5048, Summit County</t>
  </si>
  <si>
    <t>Census Tract 5052, Summit County</t>
  </si>
  <si>
    <t>Census Tract 5053, Summit County</t>
  </si>
  <si>
    <t>Census Tract 5054, Summit County</t>
  </si>
  <si>
    <t>Census Tract 5055, Summit County</t>
  </si>
  <si>
    <t>Census Tract 5056, Summit County</t>
  </si>
  <si>
    <t>Census Tract 5057, Summit County</t>
  </si>
  <si>
    <t>Census Tract 5058, Summit County</t>
  </si>
  <si>
    <t>Census Tract 5059, Summit County</t>
  </si>
  <si>
    <t>Census Tract 5061, Summit County</t>
  </si>
  <si>
    <t>Census Tract 5062, Summit County</t>
  </si>
  <si>
    <t>Census Tract 5064, Summit County</t>
  </si>
  <si>
    <t>Census Tract 5065, Summit County</t>
  </si>
  <si>
    <t>Census Tract 5066, Summit County</t>
  </si>
  <si>
    <t>Census Tract 5067, Summit County</t>
  </si>
  <si>
    <t>Census Tract 5068, Summit County</t>
  </si>
  <si>
    <t>Census Tract 5071.01, Summit County</t>
  </si>
  <si>
    <t>Census Tract 5071.02, Summit County</t>
  </si>
  <si>
    <t>Census Tract 5072.01, Summit County</t>
  </si>
  <si>
    <t>Census Tract 5072.02, Summit County</t>
  </si>
  <si>
    <t>Census Tract 5072.03, Summit County</t>
  </si>
  <si>
    <t>Census Tract 5073, Summit County</t>
  </si>
  <si>
    <t>Census Tract 5074, Summit County</t>
  </si>
  <si>
    <t>Census Tract 5075.01, Summit County</t>
  </si>
  <si>
    <t>Census Tract 5075.02, Summit County</t>
  </si>
  <si>
    <t>Census Tract 5076, Summit County</t>
  </si>
  <si>
    <t>Census Tract 5080, Summit County</t>
  </si>
  <si>
    <t>Census Tract 5083.01, Summit County</t>
  </si>
  <si>
    <t>Census Tract 5083.99, Summit County</t>
  </si>
  <si>
    <t>Census Tract 5086, Summit County</t>
  </si>
  <si>
    <t>Census Tract 5088, Summit County</t>
  </si>
  <si>
    <t>Census Tract 5089, Summit County</t>
  </si>
  <si>
    <t>Census Tract 5090, Summit County</t>
  </si>
  <si>
    <t>Census Tract 5101, Summit County</t>
  </si>
  <si>
    <t>Census Tract 5102, Summit County</t>
  </si>
  <si>
    <t>Census Tract 5103.01, Summit County</t>
  </si>
  <si>
    <t>Census Tract 5103.02, Summit County</t>
  </si>
  <si>
    <t>Census Tract 5104, Summit County</t>
  </si>
  <si>
    <t>Census Tract 5105, Summit County</t>
  </si>
  <si>
    <t>Census Tract 5201.03, Summit County</t>
  </si>
  <si>
    <t>Census Tract 5201.04, Summit County</t>
  </si>
  <si>
    <t>Census Tract 5201.05, Summit County</t>
  </si>
  <si>
    <t>Census Tract 5201.06, Summit County</t>
  </si>
  <si>
    <t>Census Tract 5202.01, Summit County</t>
  </si>
  <si>
    <t>Census Tract 5202.02, Summit County</t>
  </si>
  <si>
    <t>Census Tract 5203.01, Summit County</t>
  </si>
  <si>
    <t>Census Tract 5203.02, Summit County</t>
  </si>
  <si>
    <t>Census Tract 5204, Summit County</t>
  </si>
  <si>
    <t>Census Tract 5205, Summit County</t>
  </si>
  <si>
    <t>Census Tract 5206, Summit County</t>
  </si>
  <si>
    <t>Census Tract 5301.01, Summit County</t>
  </si>
  <si>
    <t>Census Tract 5301.03, Summit County</t>
  </si>
  <si>
    <t>Census Tract 5301.04, Summit County</t>
  </si>
  <si>
    <t>Census Tract 5301.05, Summit County</t>
  </si>
  <si>
    <t>Census Tract 5301.08, Summit County</t>
  </si>
  <si>
    <t>Census Tract 5304.01, Summit County</t>
  </si>
  <si>
    <t>Census Tract 5304.02, Summit County</t>
  </si>
  <si>
    <t>Census Tract 5305.01, Summit County</t>
  </si>
  <si>
    <t>Census Tract 5305.02, Summit County</t>
  </si>
  <si>
    <t>Census Tract 5306.03, Summit County</t>
  </si>
  <si>
    <t>Census Tract 5306.04, Summit County</t>
  </si>
  <si>
    <t>Census Tract 5306.05, Summit County</t>
  </si>
  <si>
    <t>Census Tract 5306.06, Summit County</t>
  </si>
  <si>
    <t>Census Tract 5307, Summit County</t>
  </si>
  <si>
    <t>Census Tract 5308, Summit County</t>
  </si>
  <si>
    <t>Census Tract 5309.01, Summit County</t>
  </si>
  <si>
    <t>Census Tract 5309.02, Summit County</t>
  </si>
  <si>
    <t>Census Tract 5309.03, Summit County</t>
  </si>
  <si>
    <t>Census Tract 5310.01, Summit County</t>
  </si>
  <si>
    <t>Census Tract 5310.02, Summit County</t>
  </si>
  <si>
    <t>Census Tract 5311.01, Summit County</t>
  </si>
  <si>
    <t>Census Tract 5311.02, Summit County</t>
  </si>
  <si>
    <t>Census Tract 5311.03, Summit County</t>
  </si>
  <si>
    <t>Census Tract 5314.05, Summit County</t>
  </si>
  <si>
    <t>Census Tract 5314.06, Summit County</t>
  </si>
  <si>
    <t>Census Tract 5314.07, Summit County</t>
  </si>
  <si>
    <t>Census Tract 5315.01, Summit County</t>
  </si>
  <si>
    <t>Census Tract 5315.02, Summit County</t>
  </si>
  <si>
    <t>Census Tract 5316.01, Summit County</t>
  </si>
  <si>
    <t>Census Tract 5316.02, Summit County</t>
  </si>
  <si>
    <t>Census Tract 5317.01, Summit County</t>
  </si>
  <si>
    <t>Census Tract 5317.02, Summit County</t>
  </si>
  <si>
    <t>Census Tract 5318.01, Summit County</t>
  </si>
  <si>
    <t>Census Tract 5318.02, Summit County</t>
  </si>
  <si>
    <t>Census Tract 5320.01, Summit County</t>
  </si>
  <si>
    <t>Census Tract 5320.03, Summit County</t>
  </si>
  <si>
    <t>Census Tract 5320.04, Summit County</t>
  </si>
  <si>
    <t>Census Tract 5322.02, Summit County</t>
  </si>
  <si>
    <t>Census Tract 5323.01, Summit County</t>
  </si>
  <si>
    <t>Census Tract 5323.02, Summit County</t>
  </si>
  <si>
    <t>Census Tract 5325.01, Summit County</t>
  </si>
  <si>
    <t>Census Tract 5325.02, Summit County</t>
  </si>
  <si>
    <t>Census Tract 5326, Summit County</t>
  </si>
  <si>
    <t>Census Tract 5327.01, Summit County</t>
  </si>
  <si>
    <t>Census Tract 5327.02, Summit County</t>
  </si>
  <si>
    <t>Census Tract 5327.03, Summit County</t>
  </si>
  <si>
    <t>Census Tract 5327.05, Summit County</t>
  </si>
  <si>
    <t>Census Tract 5327.06, Summit County</t>
  </si>
  <si>
    <t>Census Tract 5327.08, Summit County</t>
  </si>
  <si>
    <t>Census Tract 5329.01, Summit County</t>
  </si>
  <si>
    <t>Census Tract 5329.02, Summit County</t>
  </si>
  <si>
    <t>Census Tract 5329.99, Summit County</t>
  </si>
  <si>
    <t>Census Tract 5330, Summit County</t>
  </si>
  <si>
    <t>Census Tract 5331.01, Summit County</t>
  </si>
  <si>
    <t>Census Tract 5331.02, Summit County</t>
  </si>
  <si>
    <t>Census Tract 5332, Summit County</t>
  </si>
  <si>
    <t>Census Tract 5334, Summit County</t>
  </si>
  <si>
    <t>Census Tract 5335.01, Summit County</t>
  </si>
  <si>
    <t>Census Tract 5335.02, Summit County</t>
  </si>
  <si>
    <t>Census Tract 5340, Summit County</t>
  </si>
  <si>
    <t>Census Tract 5341, Summit County</t>
  </si>
  <si>
    <t>Census Tract 9203, Trumbull County</t>
  </si>
  <si>
    <t>Census Tract 9204, Trumbull County</t>
  </si>
  <si>
    <t>Census Tract 9207, Trumbull County</t>
  </si>
  <si>
    <t>Census Tract 9208, Trumbull County</t>
  </si>
  <si>
    <t>Census Tract 9209, Trumbull County</t>
  </si>
  <si>
    <t>Census Tract 9210, Trumbull County</t>
  </si>
  <si>
    <t>Census Tract 9211, Trumbull County</t>
  </si>
  <si>
    <t>Census Tract 9212, Trumbull County</t>
  </si>
  <si>
    <t>Census Tract 9213, Trumbull County</t>
  </si>
  <si>
    <t>Census Tract 9214, Trumbull County</t>
  </si>
  <si>
    <t>Census Tract 9215, Trumbull County</t>
  </si>
  <si>
    <t>Census Tract 9216, Trumbull County</t>
  </si>
  <si>
    <t>Census Tract 9301.01, Trumbull County</t>
  </si>
  <si>
    <t>Census Tract 9301.02, Trumbull County</t>
  </si>
  <si>
    <t>Census Tract 9302, Trumbull County</t>
  </si>
  <si>
    <t>Census Tract 9303, Trumbull County</t>
  </si>
  <si>
    <t>Census Tract 9304, Trumbull County</t>
  </si>
  <si>
    <t>Census Tract 9305, Trumbull County</t>
  </si>
  <si>
    <t>Census Tract 9306, Trumbull County</t>
  </si>
  <si>
    <t>Census Tract 9307, Trumbull County</t>
  </si>
  <si>
    <t>Census Tract 9308, Trumbull County</t>
  </si>
  <si>
    <t>Census Tract 9309, Trumbull County</t>
  </si>
  <si>
    <t>Census Tract 9310, Trumbull County</t>
  </si>
  <si>
    <t>Census Tract 9311, Trumbull County</t>
  </si>
  <si>
    <t>Census Tract 9312, Trumbull County</t>
  </si>
  <si>
    <t>Census Tract 9313, Trumbull County</t>
  </si>
  <si>
    <t>Census Tract 9314, Trumbull County</t>
  </si>
  <si>
    <t>Census Tract 9315, Trumbull County</t>
  </si>
  <si>
    <t>Census Tract 9316.01, Trumbull County</t>
  </si>
  <si>
    <t>Census Tract 9316.02, Trumbull County</t>
  </si>
  <si>
    <t>Census Tract 9317, Trumbull County</t>
  </si>
  <si>
    <t>Census Tract 9319, Trumbull County</t>
  </si>
  <si>
    <t>Census Tract 9320, Trumbull County</t>
  </si>
  <si>
    <t>Census Tract 9322, Trumbull County</t>
  </si>
  <si>
    <t>Census Tract 9323, Trumbull County</t>
  </si>
  <si>
    <t>Census Tract 9325, Trumbull County</t>
  </si>
  <si>
    <t>Census Tract 9326, Trumbull County</t>
  </si>
  <si>
    <t>Census Tract 9327.01, Trumbull County</t>
  </si>
  <si>
    <t>Census Tract 9327.02, Trumbull County</t>
  </si>
  <si>
    <t>Census Tract 9328.01, Trumbull County</t>
  </si>
  <si>
    <t>Census Tract 9328.02, Trumbull County</t>
  </si>
  <si>
    <t>Census Tract 9329, Trumbull County</t>
  </si>
  <si>
    <t>Census Tract 9330.01, Trumbull County</t>
  </si>
  <si>
    <t>Census Tract 9330.02, Trumbull County</t>
  </si>
  <si>
    <t>Census Tract 9331, Trumbull County</t>
  </si>
  <si>
    <t>Census Tract 9333.01, Trumbull County</t>
  </si>
  <si>
    <t>Census Tract 9333.02, Trumbull County</t>
  </si>
  <si>
    <t>Census Tract 9334, Trumbull County</t>
  </si>
  <si>
    <t>Census Tract 9335, Trumbull County</t>
  </si>
  <si>
    <t>Census Tract 9336, Trumbull County</t>
  </si>
  <si>
    <t>Census Tract 9337, Trumbull County</t>
  </si>
  <si>
    <t>Census Tract 9338, Trumbull County</t>
  </si>
  <si>
    <t>Census Tract 9339, Trumbull County</t>
  </si>
  <si>
    <t>Census Tract 9340, Trumbull County</t>
  </si>
  <si>
    <t>Census Tract 201, Tuscarawas County</t>
  </si>
  <si>
    <t>Census Tract 202, Tuscarawas County</t>
  </si>
  <si>
    <t>Census Tract 203, Tuscarawas County</t>
  </si>
  <si>
    <t>Census Tract 204, Tuscarawas County</t>
  </si>
  <si>
    <t>Census Tract 205, Tuscarawas County</t>
  </si>
  <si>
    <t>Census Tract 206, Tuscarawas County</t>
  </si>
  <si>
    <t>Census Tract 207, Tuscarawas County</t>
  </si>
  <si>
    <t>Census Tract 208.01, Tuscarawas County</t>
  </si>
  <si>
    <t>Census Tract 208.02, Tuscarawas County</t>
  </si>
  <si>
    <t>Census Tract 209, Tuscarawas County</t>
  </si>
  <si>
    <t>Census Tract 210, Tuscarawas County</t>
  </si>
  <si>
    <t>Census Tract 211, Tuscarawas County</t>
  </si>
  <si>
    <t>Census Tract 212, Tuscarawas County</t>
  </si>
  <si>
    <t>Census Tract 213, Tuscarawas County</t>
  </si>
  <si>
    <t>Census Tract 214, Tuscarawas County</t>
  </si>
  <si>
    <t>Census Tract 215.01, Tuscarawas County</t>
  </si>
  <si>
    <t>Census Tract 215.02, Tuscarawas County</t>
  </si>
  <si>
    <t>Census Tract 215.03, Tuscarawas County</t>
  </si>
  <si>
    <t>Census Tract 216, Tuscarawas County</t>
  </si>
  <si>
    <t>Census Tract 217, Tuscarawas County</t>
  </si>
  <si>
    <t>Census Tract 218, Tuscarawas County</t>
  </si>
  <si>
    <t>Census Tract 219, Tuscarawas County</t>
  </si>
  <si>
    <t>Census Tract 220.01, Tuscarawas County</t>
  </si>
  <si>
    <t>Census Tract 220.02, Tuscarawas County</t>
  </si>
  <si>
    <t>Census Tract 501, Union County</t>
  </si>
  <si>
    <t>Census Tract 502, Union County</t>
  </si>
  <si>
    <t>Census Tract 503.01, Union County</t>
  </si>
  <si>
    <t>Census Tract 503.03, Union County</t>
  </si>
  <si>
    <t>Census Tract 503.04, Union County</t>
  </si>
  <si>
    <t>Census Tract 504.01, Union County</t>
  </si>
  <si>
    <t>Census Tract 504.02, Union County</t>
  </si>
  <si>
    <t>Census Tract 505.01, Union County</t>
  </si>
  <si>
    <t>Census Tract 505.02, Union County</t>
  </si>
  <si>
    <t>Census Tract 506.01, Union County</t>
  </si>
  <si>
    <t>Census Tract 506.02, Union County</t>
  </si>
  <si>
    <t>Census Tract 507.01, Union County</t>
  </si>
  <si>
    <t>Census Tract 507.02, Union County</t>
  </si>
  <si>
    <t>Census Tract 201, Van Wert County</t>
  </si>
  <si>
    <t>Census Tract 202, Van Wert County</t>
  </si>
  <si>
    <t>Census Tract 203, Van Wert County</t>
  </si>
  <si>
    <t>Census Tract 204, Van Wert County</t>
  </si>
  <si>
    <t>Census Tract 205, Van Wert County</t>
  </si>
  <si>
    <t>Census Tract 206, Van Wert County</t>
  </si>
  <si>
    <t>Census Tract 207, Van Wert County</t>
  </si>
  <si>
    <t>Census Tract 208, Van Wert County</t>
  </si>
  <si>
    <t>Census Tract 209, Van Wert County</t>
  </si>
  <si>
    <t>Census Tract 9530, Vinton County</t>
  </si>
  <si>
    <t>Census Tract 9531, Vinton County</t>
  </si>
  <si>
    <t>Census Tract 9532, Vinton County</t>
  </si>
  <si>
    <t>Census Tract 301.01, Warren County</t>
  </si>
  <si>
    <t>Census Tract 301.02, Warren County</t>
  </si>
  <si>
    <t>Census Tract 302, Warren County</t>
  </si>
  <si>
    <t>Census Tract 305.01, Warren County</t>
  </si>
  <si>
    <t>Census Tract 305.03, Warren County</t>
  </si>
  <si>
    <t>Census Tract 305.04, Warren County</t>
  </si>
  <si>
    <t>Census Tract 306, Warren County</t>
  </si>
  <si>
    <t>Census Tract 307, Warren County</t>
  </si>
  <si>
    <t>Census Tract 308, Warren County</t>
  </si>
  <si>
    <t>Census Tract 309.01, Warren County</t>
  </si>
  <si>
    <t>Census Tract 309.02, Warren County</t>
  </si>
  <si>
    <t>Census Tract 310.01, Warren County</t>
  </si>
  <si>
    <t>Census Tract 310.02, Warren County</t>
  </si>
  <si>
    <t>Census Tract 311, Warren County</t>
  </si>
  <si>
    <t>Census Tract 312, Warren County</t>
  </si>
  <si>
    <t>Census Tract 313, Warren County</t>
  </si>
  <si>
    <t>Census Tract 314, Warren County</t>
  </si>
  <si>
    <t>Census Tract 315, Warren County</t>
  </si>
  <si>
    <t>Census Tract 316.01, Warren County</t>
  </si>
  <si>
    <t>Census Tract 316.02, Warren County</t>
  </si>
  <si>
    <t>Census Tract 316.03, Warren County</t>
  </si>
  <si>
    <t>Census Tract 317, Warren County</t>
  </si>
  <si>
    <t>Census Tract 319.04, Warren County</t>
  </si>
  <si>
    <t>Census Tract 319.05, Warren County</t>
  </si>
  <si>
    <t>Census Tract 319.06, Warren County</t>
  </si>
  <si>
    <t>Census Tract 319.07, Warren County</t>
  </si>
  <si>
    <t>Census Tract 319.08, Warren County</t>
  </si>
  <si>
    <t>Census Tract 320.03, Warren County</t>
  </si>
  <si>
    <t>Census Tract 320.04, Warren County</t>
  </si>
  <si>
    <t>Census Tract 320.06, Warren County</t>
  </si>
  <si>
    <t>Census Tract 320.08, Warren County</t>
  </si>
  <si>
    <t>Census Tract 320.09, Warren County</t>
  </si>
  <si>
    <t>Census Tract 320.1, Warren County</t>
  </si>
  <si>
    <t>Census Tract 320.11, Warren County</t>
  </si>
  <si>
    <t>Census Tract 321, Warren County</t>
  </si>
  <si>
    <t>Census Tract 322.02, Warren County</t>
  </si>
  <si>
    <t>Census Tract 322.03, Warren County</t>
  </si>
  <si>
    <t>Census Tract 322.04, Warren County</t>
  </si>
  <si>
    <t>Census Tract 322.05, Warren County</t>
  </si>
  <si>
    <t>Census Tract 322.06, Warren County</t>
  </si>
  <si>
    <t>Census Tract 323, Warren County</t>
  </si>
  <si>
    <t>Census Tract 324, Warren County</t>
  </si>
  <si>
    <t>Census Tract 325.01, Warren County</t>
  </si>
  <si>
    <t>Census Tract 325.02, Warren County</t>
  </si>
  <si>
    <t>Census Tract 201.01, Washington County</t>
  </si>
  <si>
    <t>Census Tract 201.02, Washington County</t>
  </si>
  <si>
    <t>Census Tract 202.01, Washington County</t>
  </si>
  <si>
    <t>Census Tract 202.02, Washington County</t>
  </si>
  <si>
    <t>Census Tract 203, Washington County</t>
  </si>
  <si>
    <t>Census Tract 204, Washington County</t>
  </si>
  <si>
    <t>Census Tract 205, Washington County</t>
  </si>
  <si>
    <t>Census Tract 208, Washington County</t>
  </si>
  <si>
    <t>Census Tract 209, Washington County</t>
  </si>
  <si>
    <t>Census Tract 210, Washington County</t>
  </si>
  <si>
    <t>Census Tract 211, Washington County</t>
  </si>
  <si>
    <t>Census Tract 212.01, Washington County</t>
  </si>
  <si>
    <t>Census Tract 212.02, Washington County</t>
  </si>
  <si>
    <t>Census Tract 213, Washington County</t>
  </si>
  <si>
    <t>Census Tract 214, Washington County</t>
  </si>
  <si>
    <t>Census Tract 215, Washington County</t>
  </si>
  <si>
    <t>Census Tract 216, Washington County</t>
  </si>
  <si>
    <t>Census Tract 217, Washington County</t>
  </si>
  <si>
    <t>Census Tract 1, Wayne County</t>
  </si>
  <si>
    <t>Census Tract 2, Wayne County</t>
  </si>
  <si>
    <t>Census Tract 3, Wayne County</t>
  </si>
  <si>
    <t>Census Tract 5, Wayne County</t>
  </si>
  <si>
    <t>Census Tract 6, Wayne County</t>
  </si>
  <si>
    <t>Census Tract 7, Wayne County</t>
  </si>
  <si>
    <t>Census Tract 8, Wayne County</t>
  </si>
  <si>
    <t>Census Tract 9, Wayne County</t>
  </si>
  <si>
    <t>Census Tract 10, Wayne County</t>
  </si>
  <si>
    <t>Census Tract 11, Wayne County</t>
  </si>
  <si>
    <t>Census Tract 12, Wayne County</t>
  </si>
  <si>
    <t>Census Tract 13, Wayne County</t>
  </si>
  <si>
    <t>Census Tract 14, Wayne County</t>
  </si>
  <si>
    <t>Census Tract 17, Wayne County</t>
  </si>
  <si>
    <t>Census Tract 18, Wayne County</t>
  </si>
  <si>
    <t>Census Tract 19, Wayne County</t>
  </si>
  <si>
    <t>Census Tract 20, Wayne County</t>
  </si>
  <si>
    <t>Census Tract 21, Wayne County</t>
  </si>
  <si>
    <t>Census Tract 22, Wayne County</t>
  </si>
  <si>
    <t>Census Tract 23, Wayne County</t>
  </si>
  <si>
    <t>Census Tract 24, Wayne County</t>
  </si>
  <si>
    <t>Census Tract 25, Wayne County</t>
  </si>
  <si>
    <t>Census Tract 29.01, Wayne County</t>
  </si>
  <si>
    <t>Census Tract 29.02, Wayne County</t>
  </si>
  <si>
    <t>Census Tract 30, Wayne County</t>
  </si>
  <si>
    <t>Census Tract 31, Wayne County</t>
  </si>
  <si>
    <t>Census Tract 32, Wayne County</t>
  </si>
  <si>
    <t>Census Tract 33, Wayne County</t>
  </si>
  <si>
    <t>Census Tract 34, Wayne County</t>
  </si>
  <si>
    <t>Census Tract 35, Wayne County</t>
  </si>
  <si>
    <t>Census Tract 37, Wayne County</t>
  </si>
  <si>
    <t>Census Tract 9800, Wayne County</t>
  </si>
  <si>
    <t>Census Tract 9501, Williams County</t>
  </si>
  <si>
    <t>Census Tract 9502, Williams County</t>
  </si>
  <si>
    <t>Census Tract 9503, Williams County</t>
  </si>
  <si>
    <t>Census Tract 9504, Williams County</t>
  </si>
  <si>
    <t>Census Tract 9505, Williams County</t>
  </si>
  <si>
    <t>Census Tract 9506, Williams County</t>
  </si>
  <si>
    <t>Census Tract 9507, Williams County</t>
  </si>
  <si>
    <t>Census Tract 9508, Williams County</t>
  </si>
  <si>
    <t>Census Tract 9509, Williams County</t>
  </si>
  <si>
    <t>Census Tract 201, Wood County</t>
  </si>
  <si>
    <t>Census Tract 202, Wood County</t>
  </si>
  <si>
    <t>Census Tract 203, Wood County</t>
  </si>
  <si>
    <t>Census Tract 204.01, Wood County</t>
  </si>
  <si>
    <t>Census Tract 204.02, Wood County</t>
  </si>
  <si>
    <t>Census Tract 205, Wood County</t>
  </si>
  <si>
    <t>Census Tract 206.01, Wood County</t>
  </si>
  <si>
    <t>Census Tract 206.02, Wood County</t>
  </si>
  <si>
    <t>Census Tract 207.01, Wood County</t>
  </si>
  <si>
    <t>Census Tract 207.02, Wood County</t>
  </si>
  <si>
    <t>Census Tract 208, Wood County</t>
  </si>
  <si>
    <t>Census Tract 209.01, Wood County</t>
  </si>
  <si>
    <t>Census Tract 209.02, Wood County</t>
  </si>
  <si>
    <t>Census Tract 210, Wood County</t>
  </si>
  <si>
    <t>Census Tract 211, Wood County</t>
  </si>
  <si>
    <t>Census Tract 212, Wood County</t>
  </si>
  <si>
    <t>Census Tract 213, Wood County</t>
  </si>
  <si>
    <t>Census Tract 214, Wood County</t>
  </si>
  <si>
    <t>Census Tract 215, Wood County</t>
  </si>
  <si>
    <t>Census Tract 216.01, Wood County</t>
  </si>
  <si>
    <t>Census Tract 216.02, Wood County</t>
  </si>
  <si>
    <t>Census Tract 217.01, Wood County</t>
  </si>
  <si>
    <t>Census Tract 217.02, Wood County</t>
  </si>
  <si>
    <t>Census Tract 218, Wood County</t>
  </si>
  <si>
    <t>Census Tract 219.01, Wood County</t>
  </si>
  <si>
    <t>Census Tract 219.02, Wood County</t>
  </si>
  <si>
    <t>Census Tract 221, Wood County</t>
  </si>
  <si>
    <t>Census Tract 222, Wood County</t>
  </si>
  <si>
    <t>Census Tract 223, Wood County</t>
  </si>
  <si>
    <t>Census Tract 224, Wood County</t>
  </si>
  <si>
    <t>Census Tract 225, Wood County</t>
  </si>
  <si>
    <t>Census Tract 9380, Wyandot County</t>
  </si>
  <si>
    <t>Census Tract 9381, Wyandot County</t>
  </si>
  <si>
    <t>Census Tract 9382, Wyandot County</t>
  </si>
  <si>
    <t>Census Tract 9383, Wyandot County</t>
  </si>
  <si>
    <t>Census Tract 9384, Wyandot County</t>
  </si>
  <si>
    <t>Census Tract 9385, Wyandot County</t>
  </si>
  <si>
    <t>2020 Full Census Tract Name</t>
  </si>
  <si>
    <t>Lima, OH MSA</t>
  </si>
  <si>
    <t>Wheeling, WV-OH MSA</t>
  </si>
  <si>
    <t>Cincinnati, OH-KY-IN MSA</t>
  </si>
  <si>
    <t>Canton-Massillon, OH MSA</t>
  </si>
  <si>
    <t>Springfield, OH MSA</t>
  </si>
  <si>
    <t>Cleveland-Elyria, OH MSA</t>
  </si>
  <si>
    <t>Columbus, OH MSA</t>
  </si>
  <si>
    <t>Toledo, OH MSA</t>
  </si>
  <si>
    <t>Dayton, OH MSA</t>
  </si>
  <si>
    <t>Weirton-Steubenville, WV-OH MSA</t>
  </si>
  <si>
    <t>Huntington-Ashland, WV-KY-OH MSA</t>
  </si>
  <si>
    <t>Youngstown-Warren-Boardman, OH-PA MSA</t>
  </si>
  <si>
    <t>Akron, OH MSA</t>
  </si>
  <si>
    <t>Mansfield, OH MSA</t>
  </si>
  <si>
    <t>Metropolitan Statistical Area</t>
  </si>
  <si>
    <t>2023 QCT?</t>
  </si>
  <si>
    <t>Zip Code Tabulation Area (ZCTA)</t>
  </si>
  <si>
    <t>Area Name</t>
  </si>
  <si>
    <t>2023 DDA?</t>
  </si>
  <si>
    <t>Cincinnati</t>
  </si>
  <si>
    <t>Akron</t>
  </si>
  <si>
    <t>Cleveland-Elyria</t>
  </si>
  <si>
    <t>Dayton</t>
  </si>
  <si>
    <t>Columbus</t>
  </si>
  <si>
    <t>Toledo</t>
  </si>
  <si>
    <t>Youngstown-Warren-Boardman</t>
  </si>
  <si>
    <t>Canton-Massillon</t>
  </si>
  <si>
    <t>Lima</t>
  </si>
  <si>
    <t>Springfield</t>
  </si>
  <si>
    <t>Mansfield</t>
  </si>
  <si>
    <t>Application Number (To be assigned by OHFA)</t>
  </si>
  <si>
    <t>11-Digit 2020 Census Tract</t>
  </si>
  <si>
    <t>Site Subject to Local Revitalization Plan?</t>
  </si>
  <si>
    <r>
      <t xml:space="preserve">11-Digit </t>
    </r>
    <r>
      <rPr>
        <b/>
        <u/>
        <sz val="11"/>
        <color theme="10"/>
        <rFont val="Arial"/>
        <family val="2"/>
        <scheme val="minor"/>
      </rPr>
      <t>2020</t>
    </r>
    <r>
      <rPr>
        <u/>
        <sz val="11"/>
        <color theme="10"/>
        <rFont val="Arial"/>
        <family val="2"/>
        <scheme val="minor"/>
      </rPr>
      <t xml:space="preserve"> Census Tract</t>
    </r>
  </si>
  <si>
    <r>
      <t xml:space="preserve">11-Digit </t>
    </r>
    <r>
      <rPr>
        <b/>
        <u/>
        <sz val="11"/>
        <color theme="10"/>
        <rFont val="Arial"/>
        <family val="2"/>
        <scheme val="minor"/>
      </rPr>
      <t>2010</t>
    </r>
    <r>
      <rPr>
        <u/>
        <sz val="11"/>
        <color theme="10"/>
        <rFont val="Arial"/>
        <family val="2"/>
        <scheme val="minor"/>
      </rPr>
      <t xml:space="preserve"> Census Tract</t>
    </r>
  </si>
  <si>
    <t>County Name</t>
  </si>
  <si>
    <t>Unit Type (Bedrooms)</t>
  </si>
  <si>
    <t>Assumed Occupancy (Persons)</t>
  </si>
  <si>
    <r>
      <t xml:space="preserve">• Applicants must complete all applicable information in the table below, including all low-income and market-rate units. 
• Enter "0" in the "# BR" columns for studio units.
• Mgr Units identified in row 44 are full-time employee units only, as defined in IRS Revenue Ruling 92-61. Any others must be identified as either market or low-income.
• For Tenant-Paid Rent, HDAP applicants must apply the HUD Low HOME Rent to HDAP restricted units. HOME Rent Limits can be found here: https://ohiohome.org/compliance/limits.aspx. 
• Market rate units may be identified as Affordable to and Occupied by 100% AMGI, unless otherwise projected. 
• Developments utilizing Average Income must have rents sent in 10% increments between 20% and 80%
</t>
    </r>
    <r>
      <rPr>
        <b/>
        <u/>
        <sz val="11"/>
        <color theme="3"/>
        <rFont val="Arial"/>
        <family val="2"/>
        <scheme val="minor"/>
      </rPr>
      <t xml:space="preserve">For market rate and Manager Unit(s) units, only enter data into the Non-LIHTC cells near the bottom of the chart. </t>
    </r>
  </si>
  <si>
    <t>Occupancy Assumptions</t>
  </si>
  <si>
    <t>Tenant-Paid Rent (Net Rent)</t>
  </si>
  <si>
    <t>Occupied by what % AMGI
(income limit)</t>
  </si>
  <si>
    <t>Affordable to what % AMGI
(rent limit)</t>
  </si>
  <si>
    <t>Tenant Utility Allowance (UA)</t>
  </si>
  <si>
    <t>Rent + UA
(Gross Rent)</t>
  </si>
  <si>
    <t>Maximum Gross LIHTC Rent</t>
  </si>
  <si>
    <t>Rental Subsidy Amount</t>
  </si>
  <si>
    <t xml:space="preserve">Lead Developer </t>
  </si>
  <si>
    <t>Lead Developer Name</t>
  </si>
  <si>
    <t>Lead Developer</t>
  </si>
  <si>
    <r>
      <rPr>
        <b/>
        <sz val="11"/>
        <rFont val="Arial"/>
        <family val="2"/>
        <scheme val="minor"/>
      </rPr>
      <t xml:space="preserve">Minimum Eligibility Requirements for 4% LIHTC Only: 
</t>
    </r>
    <r>
      <rPr>
        <sz val="11"/>
        <rFont val="Arial"/>
        <family val="2"/>
        <scheme val="minor"/>
      </rPr>
      <t xml:space="preserve">• Applicants must have successfully placed at least one LIHTC project in service in Ohio within the last 10 years.
• Out of state developers who have not placed at least one LIHTC project in service in Ohio within the last 10 years, but who partner with an entity who meets the necessary requirements are also eligible.
• Developers who have placed at least one LITHC project in service in a state other than Ohio that utilized HOME financing. Documentation must be submitted that the project was placed into service within the past 10 years. 
</t>
    </r>
  </si>
  <si>
    <t>Estimated 4% LIHTC Generated</t>
  </si>
  <si>
    <t>State of Ohio Prevailing Wage Rates</t>
  </si>
  <si>
    <t xml:space="preserve">Is majority owner for-profit? </t>
  </si>
  <si>
    <t>Is development in a HOME Participating Jurisdiction?</t>
  </si>
  <si>
    <t>Permanent First Loan</t>
  </si>
  <si>
    <t>Architectural Plans &amp; DCF Form</t>
  </si>
  <si>
    <t>Legal Description</t>
  </si>
  <si>
    <t>Notification to Statewide Accessibility Groups (new units)</t>
  </si>
  <si>
    <t>Phase I Environmental Site Assessment, Phase II if applicable</t>
  </si>
  <si>
    <t>PCNA and Scope of Work</t>
  </si>
  <si>
    <t>Public Notification</t>
  </si>
  <si>
    <t>AHFA -(Project Name)</t>
  </si>
  <si>
    <t>total of below square footage calculations C227:C240</t>
  </si>
  <si>
    <t xml:space="preserve">Supportive Services </t>
  </si>
  <si>
    <t>Tax Abatement:</t>
  </si>
  <si>
    <t>Applicants must have at least one HTC project has been placed in service in Ohio or other states within the past 10 years in order to apply for 4% HTCs.
OHFA may impose application limits or restrictions on developers new to Ohio, for example, requiring that developers who have received their first Ohio 4% HTC award must begin construction on that project before seeking additional 4% HTC from OHFA.</t>
  </si>
  <si>
    <t>OHFA may impose application limits or restrictions on developers new to Ohio, for example, requiring that developers who have received their first Ohio 4% HTC award must begin construction on that project before seeking additional 4% HTC from OHFA.</t>
  </si>
  <si>
    <r>
      <rPr>
        <b/>
        <sz val="11"/>
        <rFont val="Arial"/>
        <family val="2"/>
        <scheme val="minor"/>
      </rPr>
      <t xml:space="preserve">Instructions: </t>
    </r>
    <r>
      <rPr>
        <sz val="11"/>
        <rFont val="Arial"/>
        <family val="2"/>
        <scheme val="minor"/>
      </rPr>
      <t xml:space="preserve">Complete this table by detailing all of the housing developments undertaken by your organization since 2013. Do not leave any column items blank.  If your organization performed more than one role per project make sure you repeat that project on another line so all roles are disclosed. If need, additional experience many be submitted in a separate worksheet containing all column headers below.  </t>
    </r>
  </si>
  <si>
    <t>Application</t>
  </si>
  <si>
    <t>8609 Request</t>
  </si>
  <si>
    <t>Link to Data:</t>
  </si>
  <si>
    <t>Click here</t>
  </si>
  <si>
    <t>See 26 U.S.C. §42(g)(2)(C).</t>
  </si>
  <si>
    <t>Details and applicability for all document submission requirements can be found in the QAP.</t>
  </si>
  <si>
    <t>USR Type</t>
  </si>
  <si>
    <t>2023 Qualified Census Tracts</t>
  </si>
  <si>
    <t>Opportunity Index and USR Type, 2010 Census Tracts</t>
  </si>
  <si>
    <t>Census Tract 7701, Adams County, Ohio</t>
  </si>
  <si>
    <t>Very Low</t>
  </si>
  <si>
    <t>Decline</t>
  </si>
  <si>
    <t>Rural</t>
  </si>
  <si>
    <t>Census Tract 7702, Adams County, Ohio</t>
  </si>
  <si>
    <t>Slight Growth</t>
  </si>
  <si>
    <t>Census Tract 7703, Adams County, Ohio</t>
  </si>
  <si>
    <t>Census Tract 7704, Adams County, Ohio</t>
  </si>
  <si>
    <t>Slight Decline</t>
  </si>
  <si>
    <t>Census Tract 7705, Adams County, Ohio</t>
  </si>
  <si>
    <t>Census Tract 7706, Adams County, Ohio</t>
  </si>
  <si>
    <t>Census Tract 101, Allen County, Ohio</t>
  </si>
  <si>
    <t>Very High</t>
  </si>
  <si>
    <t>Growth</t>
  </si>
  <si>
    <t>Census Tract 102, Allen County, Ohio</t>
  </si>
  <si>
    <t>High</t>
  </si>
  <si>
    <t>No Change</t>
  </si>
  <si>
    <t>Census Tract 103, Allen County, Ohio</t>
  </si>
  <si>
    <t>Census Tract 106, Allen County, Ohio</t>
  </si>
  <si>
    <t>Census Tract 108, Allen County, Ohio</t>
  </si>
  <si>
    <t>Suburban</t>
  </si>
  <si>
    <t>Census Tract 109, Allen County, Ohio</t>
  </si>
  <si>
    <t>Moderate</t>
  </si>
  <si>
    <t>Census Tract 110, Allen County, Ohio</t>
  </si>
  <si>
    <t>Low</t>
  </si>
  <si>
    <t>Census Tract 112, Allen County, Ohio</t>
  </si>
  <si>
    <t>Census Tract 113, Allen County, Ohio</t>
  </si>
  <si>
    <t>Census Tract 114, Allen County, Ohio</t>
  </si>
  <si>
    <t>Census Tract 115, Allen County, Ohio</t>
  </si>
  <si>
    <t>Census Tract 116, Allen County, Ohio</t>
  </si>
  <si>
    <t>Census Tract 118, Allen County, Ohio</t>
  </si>
  <si>
    <t>Census Tract 119, Allen County, Ohio</t>
  </si>
  <si>
    <t>Census Tract 120, Allen County, Ohio</t>
  </si>
  <si>
    <t>Census Tract 121, Allen County, Ohio</t>
  </si>
  <si>
    <t>Census Tract 122, Allen County, Ohio</t>
  </si>
  <si>
    <t>Census Tract 123, Allen County, Ohio</t>
  </si>
  <si>
    <t>Urban</t>
  </si>
  <si>
    <t>Census Tract 124, Allen County, Ohio</t>
  </si>
  <si>
    <t>Census Tract 126, Allen County, Ohio</t>
  </si>
  <si>
    <t>Census Tract 127, Allen County, Ohio</t>
  </si>
  <si>
    <t>Census Tract 129, Allen County, Ohio</t>
  </si>
  <si>
    <t>Census Tract 130, Allen County, Ohio</t>
  </si>
  <si>
    <t>Census Tract 131, Allen County, Ohio</t>
  </si>
  <si>
    <t>Census Tract 132, Allen County, Ohio</t>
  </si>
  <si>
    <t>Census Tract 133, Allen County, Ohio</t>
  </si>
  <si>
    <t>Census Tract 134, Allen County, Ohio</t>
  </si>
  <si>
    <t>Census Tract 136, Allen County, Ohio</t>
  </si>
  <si>
    <t>Census Tract 137, Allen County, Ohio</t>
  </si>
  <si>
    <t>Census Tract 138, Allen County, Ohio</t>
  </si>
  <si>
    <t>Census Tract 139, Allen County, Ohio</t>
  </si>
  <si>
    <t>Census Tract 140, Allen County, Ohio</t>
  </si>
  <si>
    <t>Census Tract 141, Allen County, Ohio</t>
  </si>
  <si>
    <t>Census Tract 9701, Ashland County, Ohio</t>
  </si>
  <si>
    <t>Census Tract 9702, Ashland County, Ohio</t>
  </si>
  <si>
    <t>Census Tract 9703, Ashland County, Ohio</t>
  </si>
  <si>
    <t>Census Tract 9704, Ashland County, Ohio</t>
  </si>
  <si>
    <t>Census Tract 9705, Ashland County, Ohio</t>
  </si>
  <si>
    <t xml:space="preserve">Rural </t>
  </si>
  <si>
    <t>Census Tract 9706, Ashland County, Ohio</t>
  </si>
  <si>
    <t>Census Tract 9707, Ashland County, Ohio</t>
  </si>
  <si>
    <t>Census Tract 9708, Ashland County, Ohio</t>
  </si>
  <si>
    <t>Census Tract 9709, Ashland County, Ohio</t>
  </si>
  <si>
    <t>Census Tract 9710, Ashland County, Ohio</t>
  </si>
  <si>
    <t>Census Tract 9711, Ashland County, Ohio</t>
  </si>
  <si>
    <t>Census Tract 1.01, Ashtabula County, Ohio</t>
  </si>
  <si>
    <t>Census Tract 1.02, Ashtabula County, Ohio</t>
  </si>
  <si>
    <t>Census Tract 1.03, Ashtabula County, Ohio</t>
  </si>
  <si>
    <t>Census Tract 2, Ashtabula County, Ohio</t>
  </si>
  <si>
    <t>Census Tract 3, Ashtabula County, Ohio</t>
  </si>
  <si>
    <t>Census Tract 4, Ashtabula County, Ohio</t>
  </si>
  <si>
    <t>Census Tract 5, Ashtabula County, Ohio</t>
  </si>
  <si>
    <t>Census Tract 6.01, Ashtabula County, Ohio</t>
  </si>
  <si>
    <t>Census Tract 6.02, Ashtabula County, Ohio</t>
  </si>
  <si>
    <t>Census Tract 6.03, Ashtabula County, Ohio</t>
  </si>
  <si>
    <t>Census Tract 7.01, Ashtabula County, Ohio</t>
  </si>
  <si>
    <t>Census Tract 7.02, Ashtabula County, Ohio</t>
  </si>
  <si>
    <t>Census Tract 7.03, Ashtabula County, Ohio</t>
  </si>
  <si>
    <t>Census Tract 7.04, Ashtabula County, Ohio</t>
  </si>
  <si>
    <t>Census Tract 8.01, Ashtabula County, Ohio</t>
  </si>
  <si>
    <t>Census Tract 8.02, Ashtabula County, Ohio</t>
  </si>
  <si>
    <t>Strong Decline</t>
  </si>
  <si>
    <t>Census Tract 9, Ashtabula County, Ohio</t>
  </si>
  <si>
    <t>Census Tract 10.01, Ashtabula County, Ohio</t>
  </si>
  <si>
    <t>Census Tract 10.02, Ashtabula County, Ohio</t>
  </si>
  <si>
    <t>Census Tract 11.01, Ashtabula County, Ohio</t>
  </si>
  <si>
    <t>Census Tract 11.02, Ashtabula County, Ohio</t>
  </si>
  <si>
    <t>Census Tract 12, Ashtabula County, Ohio</t>
  </si>
  <si>
    <t>Census Tract 13.01, Ashtabula County, Ohio</t>
  </si>
  <si>
    <t>Census Tract 13.02, Ashtabula County, Ohio</t>
  </si>
  <si>
    <t>Census Tract 14, Ashtabula County, Ohio</t>
  </si>
  <si>
    <t>Census Tract 9726, Athens County, Ohio</t>
  </si>
  <si>
    <t>Census Tract 9727, Athens County, Ohio</t>
  </si>
  <si>
    <t>Census Tract 9728, Athens County, Ohio</t>
  </si>
  <si>
    <t>Census Tract 9729, Athens County, Ohio</t>
  </si>
  <si>
    <t>Census Tract 9730, Athens County, Ohio</t>
  </si>
  <si>
    <t>Census Tract 9731.01, Athens County, Ohio</t>
  </si>
  <si>
    <t>Census Tract 9732, Athens County, Ohio</t>
  </si>
  <si>
    <t>Census Tract 9733, Athens County, Ohio</t>
  </si>
  <si>
    <t>Census Tract 9734, Athens County, Ohio</t>
  </si>
  <si>
    <t>Census Tract 9735, Athens County, Ohio</t>
  </si>
  <si>
    <t>Census Tract 9736, Athens County, Ohio</t>
  </si>
  <si>
    <t>Census Tract 9737, Athens County, Ohio</t>
  </si>
  <si>
    <t>Census Tract 9738, Athens County, Ohio</t>
  </si>
  <si>
    <t>Census Tract 9739.01, Athens County, Ohio</t>
  </si>
  <si>
    <t>Census Tract 9739.02, Athens County, Ohio</t>
  </si>
  <si>
    <t>Census Tract 401, Auglaize County, Ohio</t>
  </si>
  <si>
    <t>Census Tract 402, Auglaize County, Ohio</t>
  </si>
  <si>
    <t>Census Tract 403, Auglaize County, Ohio</t>
  </si>
  <si>
    <t>Census Tract 404, Auglaize County, Ohio</t>
  </si>
  <si>
    <t>Census Tract 405, Auglaize County, Ohio</t>
  </si>
  <si>
    <t>Census Tract 406, Auglaize County, Ohio</t>
  </si>
  <si>
    <t>Census Tract 409, Auglaize County, Ohio</t>
  </si>
  <si>
    <t>Census Tract 410, Auglaize County, Ohio</t>
  </si>
  <si>
    <t>Census Tract 411, Auglaize County, Ohio</t>
  </si>
  <si>
    <t>Census Tract 412.01, Auglaize County, Ohio</t>
  </si>
  <si>
    <t>Census Tract 412.02, Auglaize County, Ohio</t>
  </si>
  <si>
    <t>Census Tract 101, Belmont County, Ohio</t>
  </si>
  <si>
    <t>Census Tract 102, Belmont County, Ohio</t>
  </si>
  <si>
    <t>Census Tract 103, Belmont County, Ohio</t>
  </si>
  <si>
    <t>Census Tract 106, Belmont County, Ohio</t>
  </si>
  <si>
    <t>Census Tract 107, Belmont County, Ohio</t>
  </si>
  <si>
    <t>Census Tract 108.02, Belmont County, Ohio</t>
  </si>
  <si>
    <t>Census Tract 109, Belmont County, Ohio</t>
  </si>
  <si>
    <t>Census Tract 110, Belmont County, Ohio</t>
  </si>
  <si>
    <t>Census Tract 112, Belmont County, Ohio</t>
  </si>
  <si>
    <t>Census Tract 113, Belmont County, Ohio</t>
  </si>
  <si>
    <t>Census Tract 114, Belmont County, Ohio</t>
  </si>
  <si>
    <t>Census Tract 115, Belmont County, Ohio</t>
  </si>
  <si>
    <t>Census Tract 116, Belmont County, Ohio</t>
  </si>
  <si>
    <t>Census Tract 117, Belmont County, Ohio</t>
  </si>
  <si>
    <t>Census Tract 119, Belmont County, Ohio</t>
  </si>
  <si>
    <t>Census Tract 120, Belmont County, Ohio</t>
  </si>
  <si>
    <t>Census Tract 121, Belmont County, Ohio</t>
  </si>
  <si>
    <t>Census Tract 122, Belmont County, Ohio</t>
  </si>
  <si>
    <t>Census Tract 123, Belmont County, Ohio</t>
  </si>
  <si>
    <t>Census Tract 124, Belmont County, Ohio</t>
  </si>
  <si>
    <t>Census Tract 9512.01, Brown County, Ohio</t>
  </si>
  <si>
    <t>Census Tract 9512.02, Brown County, Ohio</t>
  </si>
  <si>
    <t>Census Tract 9513, Brown County, Ohio</t>
  </si>
  <si>
    <t>Census Tract 9514, Brown County, Ohio</t>
  </si>
  <si>
    <t>Census Tract 9515, Brown County, Ohio</t>
  </si>
  <si>
    <t>Census Tract 9516, Brown County, Ohio</t>
  </si>
  <si>
    <t>Census Tract 9517, Brown County, Ohio</t>
  </si>
  <si>
    <t>Census Tract 9518, Brown County, Ohio</t>
  </si>
  <si>
    <t>Census Tract 9519, Brown County, Ohio</t>
  </si>
  <si>
    <t>Census Tract 1, Butler County, Ohio</t>
  </si>
  <si>
    <t>Census Tract 2, Butler County, Ohio</t>
  </si>
  <si>
    <t>Census Tract 3, Butler County, Ohio</t>
  </si>
  <si>
    <t>Census Tract 4, Butler County, Ohio</t>
  </si>
  <si>
    <t>Census Tract 5, Butler County, Ohio</t>
  </si>
  <si>
    <t>Census Tract 6, Butler County, Ohio</t>
  </si>
  <si>
    <t>Census Tract 10.01, Butler County, Ohio</t>
  </si>
  <si>
    <t>Census Tract 10.02, Butler County, Ohio</t>
  </si>
  <si>
    <t>Census Tract 11, Butler County, Ohio</t>
  </si>
  <si>
    <t>Census Tract 13, Butler County, Ohio</t>
  </si>
  <si>
    <t>Census Tract 101.01, Butler County, Ohio</t>
  </si>
  <si>
    <t>Census Tract 101.02, Butler County, Ohio</t>
  </si>
  <si>
    <t>Census Tract 101.03, Butler County, Ohio</t>
  </si>
  <si>
    <t>Census Tract 101.04, Butler County, Ohio</t>
  </si>
  <si>
    <t>Census Tract 102.01, Butler County, Ohio</t>
  </si>
  <si>
    <t>Census Tract 102.02, Butler County, Ohio</t>
  </si>
  <si>
    <t>Census Tract 102.03, Butler County, Ohio</t>
  </si>
  <si>
    <t>Census Tract 103.01, Butler County, Ohio</t>
  </si>
  <si>
    <t>Census Tract 103.02, Butler County, Ohio</t>
  </si>
  <si>
    <t>Census Tract 105, Butler County, Ohio</t>
  </si>
  <si>
    <t>Census Tract 106, Butler County, Ohio</t>
  </si>
  <si>
    <t>Census Tract 108, Butler County, Ohio</t>
  </si>
  <si>
    <t>Census Tract 109.01, Butler County, Ohio</t>
  </si>
  <si>
    <t>Census Tract 109.03, Butler County, Ohio</t>
  </si>
  <si>
    <t>Census Tract 109.04, Butler County, Ohio</t>
  </si>
  <si>
    <t>Census Tract 109.06, Butler County, Ohio</t>
  </si>
  <si>
    <t>Census Tract 109.07, Butler County, Ohio</t>
  </si>
  <si>
    <t>Census Tract 109.08, Butler County, Ohio</t>
  </si>
  <si>
    <t>Census Tract 109.09, Butler County, Ohio</t>
  </si>
  <si>
    <t>Census Tract 109.10, Butler County, Ohio</t>
  </si>
  <si>
    <t>Census Tract 109.11, Butler County, Ohio</t>
  </si>
  <si>
    <t>Census Tract 110.02, Butler County, Ohio</t>
  </si>
  <si>
    <t>Census Tract 110.03, Butler County, Ohio</t>
  </si>
  <si>
    <t>Census Tract 110.04, Butler County, Ohio</t>
  </si>
  <si>
    <t>Census Tract 111.09, Butler County, Ohio</t>
  </si>
  <si>
    <t>Census Tract 111.10, Butler County, Ohio</t>
  </si>
  <si>
    <t>Census Tract 111.11, Butler County, Ohio</t>
  </si>
  <si>
    <t>Census Tract 111.12, Butler County, Ohio</t>
  </si>
  <si>
    <t>Census Tract 111.16, Butler County, Ohio</t>
  </si>
  <si>
    <t>Census Tract 111.17, Butler County, Ohio</t>
  </si>
  <si>
    <t>Census Tract 111.18, Butler County, Ohio</t>
  </si>
  <si>
    <t>Census Tract 111.20, Butler County, Ohio</t>
  </si>
  <si>
    <t>Census Tract 111.21, Butler County, Ohio</t>
  </si>
  <si>
    <t>Census Tract 111.22, Butler County, Ohio</t>
  </si>
  <si>
    <t>Census Tract 111.23, Butler County, Ohio</t>
  </si>
  <si>
    <t>Census Tract 111.25, Butler County, Ohio</t>
  </si>
  <si>
    <t>Census Tract 111.26, Butler County, Ohio</t>
  </si>
  <si>
    <t>Census Tract 111.27, Butler County, Ohio</t>
  </si>
  <si>
    <t>Census Tract 111.28, Butler County, Ohio</t>
  </si>
  <si>
    <t>Census Tract 111.29, Butler County, Ohio</t>
  </si>
  <si>
    <t>Census Tract 111.30, Butler County, Ohio</t>
  </si>
  <si>
    <t>Census Tract 111.31, Butler County, Ohio</t>
  </si>
  <si>
    <t>Census Tract 112, Butler County, Ohio</t>
  </si>
  <si>
    <t>Census Tract 113, Butler County, Ohio</t>
  </si>
  <si>
    <t>Census Tract 118, Butler County, Ohio</t>
  </si>
  <si>
    <t>Census Tract 121, Butler County, Ohio</t>
  </si>
  <si>
    <t>Census Tract 122, Butler County, Ohio</t>
  </si>
  <si>
    <t>Census Tract 123, Butler County, Ohio</t>
  </si>
  <si>
    <t>Census Tract 124, Butler County, Ohio</t>
  </si>
  <si>
    <t>Census Tract 125, Butler County, Ohio</t>
  </si>
  <si>
    <t>Census Tract 126, Butler County, Ohio</t>
  </si>
  <si>
    <t>Census Tract 127, Butler County, Ohio</t>
  </si>
  <si>
    <t>Census Tract 130, Butler County, Ohio</t>
  </si>
  <si>
    <t>Census Tract 131, Butler County, Ohio</t>
  </si>
  <si>
    <t>Census Tract 132, Butler County, Ohio</t>
  </si>
  <si>
    <t>Census Tract 133, Butler County, Ohio</t>
  </si>
  <si>
    <t>Census Tract 134, Butler County, Ohio</t>
  </si>
  <si>
    <t>Census Tract 135, Butler County, Ohio</t>
  </si>
  <si>
    <t>Census Tract 136, Butler County, Ohio</t>
  </si>
  <si>
    <t>Census Tract 139, Butler County, Ohio</t>
  </si>
  <si>
    <t>Census Tract 140, Butler County, Ohio</t>
  </si>
  <si>
    <t>Census Tract 141, Butler County, Ohio</t>
  </si>
  <si>
    <t>Census Tract 143, Butler County, Ohio</t>
  </si>
  <si>
    <t>Census Tract 144, Butler County, Ohio</t>
  </si>
  <si>
    <t>Census Tract 146, Butler County, Ohio</t>
  </si>
  <si>
    <t>Census Tract 147, Butler County, Ohio</t>
  </si>
  <si>
    <t>Census Tract 148, Butler County, Ohio</t>
  </si>
  <si>
    <t>Census Tract 149, Butler County, Ohio</t>
  </si>
  <si>
    <t>Census Tract 150, Butler County, Ohio</t>
  </si>
  <si>
    <t>Census Tract 151, Butler County, Ohio</t>
  </si>
  <si>
    <t>Census Tract 7201, Carroll County, Ohio</t>
  </si>
  <si>
    <t>Census Tract 7202, Carroll County, Ohio</t>
  </si>
  <si>
    <t>Census Tract 7203, Carroll County, Ohio</t>
  </si>
  <si>
    <t>Census Tract 7204, Carroll County, Ohio</t>
  </si>
  <si>
    <t>Census Tract 7205, Carroll County, Ohio</t>
  </si>
  <si>
    <t>Census Tract 7206, Carroll County, Ohio</t>
  </si>
  <si>
    <t>Census Tract 7207, Carroll County, Ohio</t>
  </si>
  <si>
    <t>Census Tract 101, Champaign County, Ohio</t>
  </si>
  <si>
    <t>Census Tract 102, Champaign County, Ohio</t>
  </si>
  <si>
    <t>Census Tract 104, Champaign County, Ohio</t>
  </si>
  <si>
    <t>Census Tract 105, Champaign County, Ohio</t>
  </si>
  <si>
    <t>Census Tract 106, Champaign County, Ohio</t>
  </si>
  <si>
    <t>Census Tract 110.01, Champaign County, Ohio</t>
  </si>
  <si>
    <t>Census Tract 115.01, Champaign County, Ohio</t>
  </si>
  <si>
    <t>Census Tract 115.04, Champaign County, Ohio</t>
  </si>
  <si>
    <t>Census Tract 115.05, Champaign County, Ohio</t>
  </si>
  <si>
    <t>Census Tract 115.06, Champaign County, Ohio</t>
  </si>
  <si>
    <t>Census Tract 2, Clark County, Ohio</t>
  </si>
  <si>
    <t>Census Tract 3, Clark County, Ohio</t>
  </si>
  <si>
    <t>Census Tract 4, Clark County, Ohio</t>
  </si>
  <si>
    <t>Census Tract 5, Clark County, Ohio</t>
  </si>
  <si>
    <t>Census Tract 6, Clark County, Ohio</t>
  </si>
  <si>
    <t>Census Tract 7, Clark County, Ohio</t>
  </si>
  <si>
    <t>Census Tract 9.01, Clark County, Ohio</t>
  </si>
  <si>
    <t>Census Tract 9.02, Clark County, Ohio</t>
  </si>
  <si>
    <t>Census Tract 10, Clark County, Ohio</t>
  </si>
  <si>
    <t>Census Tract 11.01, Clark County, Ohio</t>
  </si>
  <si>
    <t>Census Tract 11.02, Clark County, Ohio</t>
  </si>
  <si>
    <t>Census Tract 12, Clark County, Ohio</t>
  </si>
  <si>
    <t>Census Tract 13, Clark County, Ohio</t>
  </si>
  <si>
    <t>Census Tract 14, Clark County, Ohio</t>
  </si>
  <si>
    <t>Census Tract 15, Clark County, Ohio</t>
  </si>
  <si>
    <t>Census Tract 16, Clark County, Ohio</t>
  </si>
  <si>
    <t>Census Tract 17, Clark County, Ohio</t>
  </si>
  <si>
    <t>Census Tract 19, Clark County, Ohio</t>
  </si>
  <si>
    <t>Census Tract 20, Clark County, Ohio</t>
  </si>
  <si>
    <t>Census Tract 21, Clark County, Ohio</t>
  </si>
  <si>
    <t>Census Tract 22, Clark County, Ohio</t>
  </si>
  <si>
    <t>Census Tract 23.01, Clark County, Ohio</t>
  </si>
  <si>
    <t>Census Tract 24.03, Clark County, Ohio</t>
  </si>
  <si>
    <t>Census Tract 24.04, Clark County, Ohio</t>
  </si>
  <si>
    <t>Census Tract 25.01, Clark County, Ohio</t>
  </si>
  <si>
    <t>Census Tract 25.02, Clark County, Ohio</t>
  </si>
  <si>
    <t>Census Tract 26.01, Clark County, Ohio</t>
  </si>
  <si>
    <t>Census Tract 26.02, Clark County, Ohio</t>
  </si>
  <si>
    <t>Census Tract 26.05, Clark County, Ohio</t>
  </si>
  <si>
    <t>Census Tract 26.06, Clark County, Ohio</t>
  </si>
  <si>
    <t>Census Tract 27.01, Clark County, Ohio</t>
  </si>
  <si>
    <t>Census Tract 27.02, Clark County, Ohio</t>
  </si>
  <si>
    <t>Census Tract 28, Clark County, Ohio</t>
  </si>
  <si>
    <t>Census Tract 29.01, Clark County, Ohio</t>
  </si>
  <si>
    <t>Census Tract 29.02, Clark County, Ohio</t>
  </si>
  <si>
    <t>Census Tract 30.01, Clark County, Ohio</t>
  </si>
  <si>
    <t>Census Tract 30.02, Clark County, Ohio</t>
  </si>
  <si>
    <t>Census Tract 31.01, Clark County, Ohio</t>
  </si>
  <si>
    <t>Census Tract 31.02, Clark County, Ohio</t>
  </si>
  <si>
    <t>Census Tract 32, Clark County, Ohio</t>
  </si>
  <si>
    <t>Census Tract 33.01, Clark County, Ohio</t>
  </si>
  <si>
    <t>Census Tract 33.02, Clark County, Ohio</t>
  </si>
  <si>
    <t>Census Tract 34, Clark County, Ohio</t>
  </si>
  <si>
    <t>Census Tract 37, Clark County, Ohio</t>
  </si>
  <si>
    <t>Census Tract 401.01, Clermont County, Ohio</t>
  </si>
  <si>
    <t>Census Tract 401.02, Clermont County, Ohio</t>
  </si>
  <si>
    <t>Census Tract 402.02, Clermont County, Ohio</t>
  </si>
  <si>
    <t>Census Tract 402.03, Clermont County, Ohio</t>
  </si>
  <si>
    <t>Census Tract 402.04, Clermont County, Ohio</t>
  </si>
  <si>
    <t>Census Tract 403.01, Clermont County, Ohio</t>
  </si>
  <si>
    <t>Census Tract 403.02, Clermont County, Ohio</t>
  </si>
  <si>
    <t>Census Tract 403.03, Clermont County, Ohio</t>
  </si>
  <si>
    <t>Census Tract 404.01, Clermont County, Ohio</t>
  </si>
  <si>
    <t>Census Tract 404.03, Clermont County, Ohio</t>
  </si>
  <si>
    <t>Census Tract 404.04, Clermont County, Ohio</t>
  </si>
  <si>
    <t>Census Tract 404.05, Clermont County, Ohio</t>
  </si>
  <si>
    <t>Census Tract 405, Clermont County, Ohio</t>
  </si>
  <si>
    <t>Census Tract 406, Clermont County, Ohio</t>
  </si>
  <si>
    <t>Census Tract 407.01, Clermont County, Ohio</t>
  </si>
  <si>
    <t>Census Tract 407.02, Clermont County, Ohio</t>
  </si>
  <si>
    <t>Census Tract 408, Clermont County, Ohio</t>
  </si>
  <si>
    <t>Census Tract 409, Clermont County, Ohio</t>
  </si>
  <si>
    <t>Census Tract 410, Clermont County, Ohio</t>
  </si>
  <si>
    <t>Census Tract 411.01, Clermont County, Ohio</t>
  </si>
  <si>
    <t>Census Tract 411.02, Clermont County, Ohio</t>
  </si>
  <si>
    <t>Census Tract 411.03, Clermont County, Ohio</t>
  </si>
  <si>
    <t>Census Tract 412, Clermont County, Ohio</t>
  </si>
  <si>
    <t>Census Tract 413.03, Clermont County, Ohio</t>
  </si>
  <si>
    <t>Census Tract 413.04, Clermont County, Ohio</t>
  </si>
  <si>
    <t>No Data</t>
  </si>
  <si>
    <t>Census Tract 413.05, Clermont County, Ohio</t>
  </si>
  <si>
    <t>Census Tract 413.06, Clermont County, Ohio</t>
  </si>
  <si>
    <t>Census Tract 413.07, Clermont County, Ohio</t>
  </si>
  <si>
    <t>Census Tract 414.03, Clermont County, Ohio</t>
  </si>
  <si>
    <t>Census Tract 414.04, Clermont County, Ohio</t>
  </si>
  <si>
    <t>Census Tract 414.05, Clermont County, Ohio</t>
  </si>
  <si>
    <t>Census Tract 414.06, Clermont County, Ohio</t>
  </si>
  <si>
    <t>Census Tract 415.01, Clermont County, Ohio</t>
  </si>
  <si>
    <t>Census Tract 415.02, Clermont County, Ohio</t>
  </si>
  <si>
    <t>Census Tract 416, Clermont County, Ohio</t>
  </si>
  <si>
    <t>Census Tract 417.01, Clermont County, Ohio</t>
  </si>
  <si>
    <t>Census Tract 417.02, Clermont County, Ohio</t>
  </si>
  <si>
    <t>Census Tract 418, Clermont County, Ohio</t>
  </si>
  <si>
    <t>Census Tract 419, Clermont County, Ohio</t>
  </si>
  <si>
    <t>Census Tract 420, Clermont County, Ohio</t>
  </si>
  <si>
    <t>Census Tract 9643, Clinton County, Ohio</t>
  </si>
  <si>
    <t>Census Tract 9644, Clinton County, Ohio</t>
  </si>
  <si>
    <t>Census Tract 9645, Clinton County, Ohio</t>
  </si>
  <si>
    <t>Census Tract 9646, Clinton County, Ohio</t>
  </si>
  <si>
    <t>Census Tract 9647, Clinton County, Ohio</t>
  </si>
  <si>
    <t>Census Tract 9648, Clinton County, Ohio</t>
  </si>
  <si>
    <t>Census Tract 9649, Clinton County, Ohio</t>
  </si>
  <si>
    <t>Census Tract 9650, Clinton County, Ohio</t>
  </si>
  <si>
    <t>Census Tract 9651, Clinton County, Ohio</t>
  </si>
  <si>
    <t>Census Tract 9501, Columbiana County, Ohio</t>
  </si>
  <si>
    <t>Census Tract 9502, Columbiana County, Ohio</t>
  </si>
  <si>
    <t>Census Tract 9503, Columbiana County, Ohio</t>
  </si>
  <si>
    <t>Census Tract 9504, Columbiana County, Ohio</t>
  </si>
  <si>
    <t>Census Tract 9505, Columbiana County, Ohio</t>
  </si>
  <si>
    <t>Census Tract 9506, Columbiana County, Ohio</t>
  </si>
  <si>
    <t>Census Tract 9507, Columbiana County, Ohio</t>
  </si>
  <si>
    <t>Census Tract 9508, Columbiana County, Ohio</t>
  </si>
  <si>
    <t>Census Tract 9509, Columbiana County, Ohio</t>
  </si>
  <si>
    <t>Census Tract 9510, Columbiana County, Ohio</t>
  </si>
  <si>
    <t>Census Tract 9511, Columbiana County, Ohio</t>
  </si>
  <si>
    <t>Census Tract 9512, Columbiana County, Ohio</t>
  </si>
  <si>
    <t>Census Tract 9513, Columbiana County, Ohio</t>
  </si>
  <si>
    <t>Census Tract 9514, Columbiana County, Ohio</t>
  </si>
  <si>
    <t>Census Tract 9515, Columbiana County, Ohio</t>
  </si>
  <si>
    <t>Census Tract 9516, Columbiana County, Ohio</t>
  </si>
  <si>
    <t>Census Tract 9517, Columbiana County, Ohio</t>
  </si>
  <si>
    <t>Census Tract 9518, Columbiana County, Ohio</t>
  </si>
  <si>
    <t>Census Tract 9519, Columbiana County, Ohio</t>
  </si>
  <si>
    <t>Census Tract 9520, Columbiana County, Ohio</t>
  </si>
  <si>
    <t>Census Tract 9521, Columbiana County, Ohio</t>
  </si>
  <si>
    <t>Census Tract 9522, Columbiana County, Ohio</t>
  </si>
  <si>
    <t>Census Tract 9523, Columbiana County, Ohio</t>
  </si>
  <si>
    <t>Census Tract 9524, Columbiana County, Ohio</t>
  </si>
  <si>
    <t>Census Tract 9609, Coshocton County, Ohio</t>
  </si>
  <si>
    <t>Census Tract 9610, Coshocton County, Ohio</t>
  </si>
  <si>
    <t>Census Tract 9611, Coshocton County, Ohio</t>
  </si>
  <si>
    <t>Census Tract 9612, Coshocton County, Ohio</t>
  </si>
  <si>
    <t>Census Tract 9613, Coshocton County, Ohio</t>
  </si>
  <si>
    <t>Census Tract 9614, Coshocton County, Ohio</t>
  </si>
  <si>
    <t>Census Tract 9615, Coshocton County, Ohio</t>
  </si>
  <si>
    <t>Census Tract 9616, Coshocton County, Ohio</t>
  </si>
  <si>
    <t>Census Tract 9617, Coshocton County, Ohio</t>
  </si>
  <si>
    <t>Census Tract 9618, Coshocton County, Ohio</t>
  </si>
  <si>
    <t>Census Tract 9741, Crawford County, Ohio</t>
  </si>
  <si>
    <t>Census Tract 9742, Crawford County, Ohio</t>
  </si>
  <si>
    <t>Census Tract 9743, Crawford County, Ohio</t>
  </si>
  <si>
    <t>Census Tract 9744, Crawford County, Ohio</t>
  </si>
  <si>
    <t>Census Tract 9745, Crawford County, Ohio</t>
  </si>
  <si>
    <t>Census Tract 9746, Crawford County, Ohio</t>
  </si>
  <si>
    <t>Census Tract 9747, Crawford County, Ohio</t>
  </si>
  <si>
    <t>Census Tract 9748, Crawford County, Ohio</t>
  </si>
  <si>
    <t>Census Tract 9749, Crawford County, Ohio</t>
  </si>
  <si>
    <t>Census Tract 9750, Crawford County, Ohio</t>
  </si>
  <si>
    <t>Census Tract 9751, Crawford County, Ohio</t>
  </si>
  <si>
    <t>Census Tract 9752, Crawford County, Ohio</t>
  </si>
  <si>
    <t>Census Tract 9753, Crawford County, Ohio</t>
  </si>
  <si>
    <t>Census Tract 1011.01, Cuyahoga County, Ohio</t>
  </si>
  <si>
    <t>Census Tract 1011.02, Cuyahoga County, Ohio</t>
  </si>
  <si>
    <t>Census Tract 1012, Cuyahoga County, Ohio</t>
  </si>
  <si>
    <t>Census Tract 1013, Cuyahoga County, Ohio</t>
  </si>
  <si>
    <t>Census Tract 1014, Cuyahoga County, Ohio</t>
  </si>
  <si>
    <t>Census Tract 1015.01, Cuyahoga County, Ohio</t>
  </si>
  <si>
    <t>Census Tract 1016.03, Cuyahoga County, Ohio</t>
  </si>
  <si>
    <t>Census Tract 1017, Cuyahoga County, Ohio</t>
  </si>
  <si>
    <t>Census Tract 1018, Cuyahoga County, Ohio</t>
  </si>
  <si>
    <t>Census Tract 1019.01, Cuyahoga County, Ohio</t>
  </si>
  <si>
    <t>Census Tract 1021.01, Cuyahoga County, Ohio</t>
  </si>
  <si>
    <t>Census Tract 1021.02, Cuyahoga County, Ohio</t>
  </si>
  <si>
    <t>Census Tract 1022, Cuyahoga County, Ohio</t>
  </si>
  <si>
    <t>Census Tract 1023, Cuyahoga County, Ohio</t>
  </si>
  <si>
    <t>Census Tract 1024.01, Cuyahoga County, Ohio</t>
  </si>
  <si>
    <t>Census Tract 1024.02, Cuyahoga County, Ohio</t>
  </si>
  <si>
    <t>Census Tract 1027, Cuyahoga County, Ohio</t>
  </si>
  <si>
    <t>Census Tract 1028, Cuyahoga County, Ohio</t>
  </si>
  <si>
    <t>Census Tract 1029, Cuyahoga County, Ohio</t>
  </si>
  <si>
    <t>Census Tract 1031, Cuyahoga County, Ohio</t>
  </si>
  <si>
    <t>Census Tract 1033, Cuyahoga County, Ohio</t>
  </si>
  <si>
    <t>Census Tract 1034, Cuyahoga County, Ohio</t>
  </si>
  <si>
    <t>Census Tract 1035, Cuyahoga County, Ohio</t>
  </si>
  <si>
    <t>Strong Growth</t>
  </si>
  <si>
    <t>Census Tract 1036.02, Cuyahoga County, Ohio</t>
  </si>
  <si>
    <t>Census Tract 1038, Cuyahoga County, Ohio</t>
  </si>
  <si>
    <t>Census Tract 1039, Cuyahoga County, Ohio</t>
  </si>
  <si>
    <t>Census Tract 1041, Cuyahoga County, Ohio</t>
  </si>
  <si>
    <t>Census Tract 1042, Cuyahoga County, Ohio</t>
  </si>
  <si>
    <t>Census Tract 1043, Cuyahoga County, Ohio</t>
  </si>
  <si>
    <t>Census Tract 1044, Cuyahoga County, Ohio</t>
  </si>
  <si>
    <t>Census Tract 1046, Cuyahoga County, Ohio</t>
  </si>
  <si>
    <t>Census Tract 1048, Cuyahoga County, Ohio</t>
  </si>
  <si>
    <t>Census Tract 1049, Cuyahoga County, Ohio</t>
  </si>
  <si>
    <t>Census Tract 1051, Cuyahoga County, Ohio</t>
  </si>
  <si>
    <t>Census Tract 1053, Cuyahoga County, Ohio</t>
  </si>
  <si>
    <t>Census Tract 1054, Cuyahoga County, Ohio</t>
  </si>
  <si>
    <t>Census Tract 1055, Cuyahoga County, Ohio</t>
  </si>
  <si>
    <t>Census Tract 1056.02, Cuyahoga County, Ohio</t>
  </si>
  <si>
    <t>Census Tract 1057, Cuyahoga County, Ohio</t>
  </si>
  <si>
    <t>Census Tract 1059, Cuyahoga County, Ohio</t>
  </si>
  <si>
    <t>Census Tract 1061, Cuyahoga County, Ohio</t>
  </si>
  <si>
    <t>Census Tract 1062, Cuyahoga County, Ohio</t>
  </si>
  <si>
    <t>Census Tract 1063, Cuyahoga County, Ohio</t>
  </si>
  <si>
    <t>Census Tract 1064, Cuyahoga County, Ohio</t>
  </si>
  <si>
    <t>Census Tract 1065, Cuyahoga County, Ohio</t>
  </si>
  <si>
    <t>Census Tract 1066, Cuyahoga County, Ohio</t>
  </si>
  <si>
    <t>Census Tract 1068, Cuyahoga County, Ohio</t>
  </si>
  <si>
    <t>Census Tract 1069, Cuyahoga County, Ohio</t>
  </si>
  <si>
    <t>Census Tract 1070, Cuyahoga County, Ohio</t>
  </si>
  <si>
    <t>Census Tract 1071.01, Cuyahoga County, Ohio</t>
  </si>
  <si>
    <t>Census Tract 1077.01, Cuyahoga County, Ohio</t>
  </si>
  <si>
    <t>Census Tract 1078.02, Cuyahoga County, Ohio</t>
  </si>
  <si>
    <t>Census Tract 1082.01, Cuyahoga County, Ohio</t>
  </si>
  <si>
    <t>Census Tract 1083.01, Cuyahoga County, Ohio</t>
  </si>
  <si>
    <t>Census Tract 1084, Cuyahoga County, Ohio</t>
  </si>
  <si>
    <t>Census Tract 1087.01, Cuyahoga County, Ohio</t>
  </si>
  <si>
    <t>Census Tract 1093.01, Cuyahoga County, Ohio</t>
  </si>
  <si>
    <t>Census Tract 1097.01, Cuyahoga County, Ohio</t>
  </si>
  <si>
    <t>Census Tract 1098.01, Cuyahoga County, Ohio</t>
  </si>
  <si>
    <t>Census Tract 1105.01, Cuyahoga County, Ohio</t>
  </si>
  <si>
    <t>Census Tract 1108.01, Cuyahoga County, Ohio</t>
  </si>
  <si>
    <t>Census Tract 1109.01, Cuyahoga County, Ohio</t>
  </si>
  <si>
    <t>Census Tract 1112.02, Cuyahoga County, Ohio</t>
  </si>
  <si>
    <t>Census Tract 1114.01, Cuyahoga County, Ohio</t>
  </si>
  <si>
    <t>Census Tract 1115, Cuyahoga County, Ohio</t>
  </si>
  <si>
    <t>Census Tract 1116, Cuyahoga County, Ohio</t>
  </si>
  <si>
    <t>Census Tract 1117, Cuyahoga County, Ohio</t>
  </si>
  <si>
    <t>Census Tract 1118, Cuyahoga County, Ohio</t>
  </si>
  <si>
    <t>Census Tract 1119.02, Cuyahoga County, Ohio</t>
  </si>
  <si>
    <t>Census Tract 1121, Cuyahoga County, Ohio</t>
  </si>
  <si>
    <t>Census Tract 1122, Cuyahoga County, Ohio</t>
  </si>
  <si>
    <t>Census Tract 1123.01, Cuyahoga County, Ohio</t>
  </si>
  <si>
    <t>Census Tract 1124, Cuyahoga County, Ohio</t>
  </si>
  <si>
    <t>Census Tract 1125, Cuyahoga County, Ohio</t>
  </si>
  <si>
    <t>Census Tract 1126, Cuyahoga County, Ohio</t>
  </si>
  <si>
    <t>Census Tract 1128, Cuyahoga County, Ohio</t>
  </si>
  <si>
    <t>Census Tract 1131.01, Cuyahoga County, Ohio</t>
  </si>
  <si>
    <t>Census Tract 1135, Cuyahoga County, Ohio</t>
  </si>
  <si>
    <t>Census Tract 1136, Cuyahoga County, Ohio</t>
  </si>
  <si>
    <t>Census Tract 1138.01, Cuyahoga County, Ohio</t>
  </si>
  <si>
    <t>Census Tract 1141, Cuyahoga County, Ohio</t>
  </si>
  <si>
    <t>Census Tract 1143, Cuyahoga County, Ohio</t>
  </si>
  <si>
    <t>Census Tract 1145.01, Cuyahoga County, Ohio</t>
  </si>
  <si>
    <t>Census Tract 1146, Cuyahoga County, Ohio</t>
  </si>
  <si>
    <t>Census Tract 1147, Cuyahoga County, Ohio</t>
  </si>
  <si>
    <t>Census Tract 1149, Cuyahoga County, Ohio</t>
  </si>
  <si>
    <t>Census Tract 1151, Cuyahoga County, Ohio</t>
  </si>
  <si>
    <t>Census Tract 1152, Cuyahoga County, Ohio</t>
  </si>
  <si>
    <t>Census Tract 1153, Cuyahoga County, Ohio</t>
  </si>
  <si>
    <t>Census Tract 1154, Cuyahoga County, Ohio</t>
  </si>
  <si>
    <t>Census Tract 1157, Cuyahoga County, Ohio</t>
  </si>
  <si>
    <t>Census Tract 1158, Cuyahoga County, Ohio</t>
  </si>
  <si>
    <t>Census Tract 1159, Cuyahoga County, Ohio</t>
  </si>
  <si>
    <t>Census Tract 1161, Cuyahoga County, Ohio</t>
  </si>
  <si>
    <t>Census Tract 1162, Cuyahoga County, Ohio</t>
  </si>
  <si>
    <t>Census Tract 1163, Cuyahoga County, Ohio</t>
  </si>
  <si>
    <t>Census Tract 1164, Cuyahoga County, Ohio</t>
  </si>
  <si>
    <t>Census Tract 1165, Cuyahoga County, Ohio</t>
  </si>
  <si>
    <t>Census Tract 1166, Cuyahoga County, Ohio</t>
  </si>
  <si>
    <t>Census Tract 1167, Cuyahoga County, Ohio</t>
  </si>
  <si>
    <t>Census Tract 1168, Cuyahoga County, Ohio</t>
  </si>
  <si>
    <t>Census Tract 1169, Cuyahoga County, Ohio</t>
  </si>
  <si>
    <t>Census Tract 1171.01, Cuyahoga County, Ohio</t>
  </si>
  <si>
    <t>Census Tract 1171.02, Cuyahoga County, Ohio</t>
  </si>
  <si>
    <t>Census Tract 1172.01, Cuyahoga County, Ohio</t>
  </si>
  <si>
    <t>Census Tract 1172.02, Cuyahoga County, Ohio</t>
  </si>
  <si>
    <t>Census Tract 1173, Cuyahoga County, Ohio</t>
  </si>
  <si>
    <t>Census Tract 1174, Cuyahoga County, Ohio</t>
  </si>
  <si>
    <t>Census Tract 1175, Cuyahoga County, Ohio</t>
  </si>
  <si>
    <t>Census Tract 1176, Cuyahoga County, Ohio</t>
  </si>
  <si>
    <t>Census Tract 1177, Cuyahoga County, Ohio</t>
  </si>
  <si>
    <t>Census Tract 1178, Cuyahoga County, Ohio</t>
  </si>
  <si>
    <t>Census Tract 1179, Cuyahoga County, Ohio</t>
  </si>
  <si>
    <t>Census Tract 1181.01, Cuyahoga County, Ohio</t>
  </si>
  <si>
    <t>Census Tract 1182, Cuyahoga County, Ohio</t>
  </si>
  <si>
    <t>Census Tract 1183.01, Cuyahoga County, Ohio</t>
  </si>
  <si>
    <t>Census Tract 1184, Cuyahoga County, Ohio</t>
  </si>
  <si>
    <t>Census Tract 1185, Cuyahoga County, Ohio</t>
  </si>
  <si>
    <t>Census Tract 1186.02, Cuyahoga County, Ohio</t>
  </si>
  <si>
    <t>Census Tract 1187, Cuyahoga County, Ohio</t>
  </si>
  <si>
    <t>Census Tract 1188, Cuyahoga County, Ohio</t>
  </si>
  <si>
    <t>Census Tract 1189, Cuyahoga County, Ohio</t>
  </si>
  <si>
    <t>Census Tract 1191, Cuyahoga County, Ohio</t>
  </si>
  <si>
    <t>Census Tract 1192.02, Cuyahoga County, Ohio</t>
  </si>
  <si>
    <t>Census Tract 1193, Cuyahoga County, Ohio</t>
  </si>
  <si>
    <t>Census Tract 1194.01, Cuyahoga County, Ohio</t>
  </si>
  <si>
    <t>Census Tract 1194.02, Cuyahoga County, Ohio</t>
  </si>
  <si>
    <t>Census Tract 1195.01, Cuyahoga County, Ohio</t>
  </si>
  <si>
    <t>Census Tract 1195.02, Cuyahoga County, Ohio</t>
  </si>
  <si>
    <t>Census Tract 1196, Cuyahoga County, Ohio</t>
  </si>
  <si>
    <t>Census Tract 1197.01, Cuyahoga County, Ohio</t>
  </si>
  <si>
    <t>Census Tract 1197.02, Cuyahoga County, Ohio</t>
  </si>
  <si>
    <t>Census Tract 1198, Cuyahoga County, Ohio</t>
  </si>
  <si>
    <t>Census Tract 1199, Cuyahoga County, Ohio</t>
  </si>
  <si>
    <t>Census Tract 1202, Cuyahoga County, Ohio</t>
  </si>
  <si>
    <t>Census Tract 1204, Cuyahoga County, Ohio</t>
  </si>
  <si>
    <t>Census Tract 1205, Cuyahoga County, Ohio</t>
  </si>
  <si>
    <t>Census Tract 1206, Cuyahoga County, Ohio</t>
  </si>
  <si>
    <t>Census Tract 1207.01, Cuyahoga County, Ohio</t>
  </si>
  <si>
    <t>Census Tract 1207.02, Cuyahoga County, Ohio</t>
  </si>
  <si>
    <t>Census Tract 1208.01, Cuyahoga County, Ohio</t>
  </si>
  <si>
    <t>Census Tract 1208.02, Cuyahoga County, Ohio</t>
  </si>
  <si>
    <t>Census Tract 1211, Cuyahoga County, Ohio</t>
  </si>
  <si>
    <t>Census Tract 1212, Cuyahoga County, Ohio</t>
  </si>
  <si>
    <t>Census Tract 1213, Cuyahoga County, Ohio</t>
  </si>
  <si>
    <t>Census Tract 1214.01, Cuyahoga County, Ohio</t>
  </si>
  <si>
    <t>Census Tract 1214.03, Cuyahoga County, Ohio</t>
  </si>
  <si>
    <t>Census Tract 1215, Cuyahoga County, Ohio</t>
  </si>
  <si>
    <t>Census Tract 1217, Cuyahoga County, Ohio</t>
  </si>
  <si>
    <t>Census Tract 1218, Cuyahoga County, Ohio</t>
  </si>
  <si>
    <t>Census Tract 1219, Cuyahoga County, Ohio</t>
  </si>
  <si>
    <t>Census Tract 1221, Cuyahoga County, Ohio</t>
  </si>
  <si>
    <t>Census Tract 1222, Cuyahoga County, Ohio</t>
  </si>
  <si>
    <t>Census Tract 1223, Cuyahoga County, Ohio</t>
  </si>
  <si>
    <t>Census Tract 1231, Cuyahoga County, Ohio</t>
  </si>
  <si>
    <t>Census Tract 1232, Cuyahoga County, Ohio</t>
  </si>
  <si>
    <t>Census Tract 1234, Cuyahoga County, Ohio</t>
  </si>
  <si>
    <t>Census Tract 1235.01, Cuyahoga County, Ohio</t>
  </si>
  <si>
    <t>Census Tract 1235.02, Cuyahoga County, Ohio</t>
  </si>
  <si>
    <t>Census Tract 1236.01, Cuyahoga County, Ohio</t>
  </si>
  <si>
    <t>Census Tract 1236.02, Cuyahoga County, Ohio</t>
  </si>
  <si>
    <t>Census Tract 1236.03, Cuyahoga County, Ohio</t>
  </si>
  <si>
    <t>Census Tract 1237, Cuyahoga County, Ohio</t>
  </si>
  <si>
    <t>Census Tract 1238, Cuyahoga County, Ohio</t>
  </si>
  <si>
    <t>Census Tract 1239, Cuyahoga County, Ohio</t>
  </si>
  <si>
    <t>Census Tract 1241, Cuyahoga County, Ohio</t>
  </si>
  <si>
    <t>Census Tract 1242.01, Cuyahoga County, Ohio</t>
  </si>
  <si>
    <t>Census Tract 1242.02, Cuyahoga County, Ohio</t>
  </si>
  <si>
    <t>Census Tract 1243, Cuyahoga County, Ohio</t>
  </si>
  <si>
    <t>Census Tract 1245, Cuyahoga County, Ohio</t>
  </si>
  <si>
    <t>Census Tract 1246, Cuyahoga County, Ohio</t>
  </si>
  <si>
    <t>Census Tract 1261, Cuyahoga County, Ohio</t>
  </si>
  <si>
    <t>Census Tract 1275.01, Cuyahoga County, Ohio</t>
  </si>
  <si>
    <t>Census Tract 1301.03, Cuyahoga County, Ohio</t>
  </si>
  <si>
    <t>Census Tract 1301.04, Cuyahoga County, Ohio</t>
  </si>
  <si>
    <t>Census Tract 1301.05, Cuyahoga County, Ohio</t>
  </si>
  <si>
    <t>Census Tract 1301.06, Cuyahoga County, Ohio</t>
  </si>
  <si>
    <t>Census Tract 1311.02, Cuyahoga County, Ohio</t>
  </si>
  <si>
    <t>Census Tract 1311.03, Cuyahoga County, Ohio</t>
  </si>
  <si>
    <t>Census Tract 1311.04, Cuyahoga County, Ohio</t>
  </si>
  <si>
    <t>Census Tract 1321, Cuyahoga County, Ohio</t>
  </si>
  <si>
    <t>Census Tract 1322, Cuyahoga County, Ohio</t>
  </si>
  <si>
    <t>Census Tract 1323.01, Cuyahoga County, Ohio</t>
  </si>
  <si>
    <t>Census Tract 1323.02, Cuyahoga County, Ohio</t>
  </si>
  <si>
    <t>Census Tract 1331.03, Cuyahoga County, Ohio</t>
  </si>
  <si>
    <t>Census Tract 1331.04, Cuyahoga County, Ohio</t>
  </si>
  <si>
    <t>Census Tract 1341, Cuyahoga County, Ohio</t>
  </si>
  <si>
    <t>Census Tract 1342.03, Cuyahoga County, Ohio</t>
  </si>
  <si>
    <t>Census Tract 1342.04, Cuyahoga County, Ohio</t>
  </si>
  <si>
    <t>Census Tract 1342.05, Cuyahoga County, Ohio</t>
  </si>
  <si>
    <t>Census Tract 1342.06, Cuyahoga County, Ohio</t>
  </si>
  <si>
    <t>Census Tract 1343, Cuyahoga County, Ohio</t>
  </si>
  <si>
    <t>Census Tract 1351.03, Cuyahoga County, Ohio</t>
  </si>
  <si>
    <t>Census Tract 1351.04, Cuyahoga County, Ohio</t>
  </si>
  <si>
    <t>Census Tract 1351.05, Cuyahoga County, Ohio</t>
  </si>
  <si>
    <t>Census Tract 1351.06, Cuyahoga County, Ohio</t>
  </si>
  <si>
    <t>Census Tract 1361.01, Cuyahoga County, Ohio</t>
  </si>
  <si>
    <t>Census Tract 1361.02, Cuyahoga County, Ohio</t>
  </si>
  <si>
    <t>Census Tract 1361.03, Cuyahoga County, Ohio</t>
  </si>
  <si>
    <t>Census Tract 1371.01, Cuyahoga County, Ohio</t>
  </si>
  <si>
    <t>Census Tract 1371.02, Cuyahoga County, Ohio</t>
  </si>
  <si>
    <t>Census Tract 1371.03, Cuyahoga County, Ohio</t>
  </si>
  <si>
    <t>Census Tract 1381.05, Cuyahoga County, Ohio</t>
  </si>
  <si>
    <t>Census Tract 1381.06, Cuyahoga County, Ohio</t>
  </si>
  <si>
    <t>Census Tract 1381.07, Cuyahoga County, Ohio</t>
  </si>
  <si>
    <t>Census Tract 1381.08, Cuyahoga County, Ohio</t>
  </si>
  <si>
    <t>Census Tract 1381.09, Cuyahoga County, Ohio</t>
  </si>
  <si>
    <t>Census Tract 1381.10, Cuyahoga County, Ohio</t>
  </si>
  <si>
    <t>Census Tract 1401, Cuyahoga County, Ohio</t>
  </si>
  <si>
    <t>Census Tract 1403.01, Cuyahoga County, Ohio</t>
  </si>
  <si>
    <t>Census Tract 1403.02, Cuyahoga County, Ohio</t>
  </si>
  <si>
    <t>Census Tract 1404, Cuyahoga County, Ohio</t>
  </si>
  <si>
    <t>Census Tract 1405, Cuyahoga County, Ohio</t>
  </si>
  <si>
    <t>Census Tract 1406, Cuyahoga County, Ohio</t>
  </si>
  <si>
    <t>Census Tract 1407.01, Cuyahoga County, Ohio</t>
  </si>
  <si>
    <t>Census Tract 1407.02, Cuyahoga County, Ohio</t>
  </si>
  <si>
    <t>Census Tract 1408, Cuyahoga County, Ohio</t>
  </si>
  <si>
    <t>Census Tract 1409, Cuyahoga County, Ohio</t>
  </si>
  <si>
    <t>Census Tract 1410, Cuyahoga County, Ohio</t>
  </si>
  <si>
    <t>Census Tract 1411, Cuyahoga County, Ohio</t>
  </si>
  <si>
    <t>Census Tract 1412, Cuyahoga County, Ohio</t>
  </si>
  <si>
    <t>Census Tract 1413, Cuyahoga County, Ohio</t>
  </si>
  <si>
    <t>Census Tract 1414, Cuyahoga County, Ohio</t>
  </si>
  <si>
    <t>Census Tract 1415, Cuyahoga County, Ohio</t>
  </si>
  <si>
    <t>Census Tract 1416.01, Cuyahoga County, Ohio</t>
  </si>
  <si>
    <t>Census Tract 1416.02, Cuyahoga County, Ohio</t>
  </si>
  <si>
    <t>Census Tract 1417, Cuyahoga County, Ohio</t>
  </si>
  <si>
    <t>Census Tract 1501, Cuyahoga County, Ohio</t>
  </si>
  <si>
    <t>Census Tract 1503, Cuyahoga County, Ohio</t>
  </si>
  <si>
    <t>Census Tract 1504, Cuyahoga County, Ohio</t>
  </si>
  <si>
    <t>Census Tract 1511, Cuyahoga County, Ohio</t>
  </si>
  <si>
    <t>Census Tract 1512, Cuyahoga County, Ohio</t>
  </si>
  <si>
    <t>Census Tract 1513, Cuyahoga County, Ohio</t>
  </si>
  <si>
    <t>Census Tract 1514, Cuyahoga County, Ohio</t>
  </si>
  <si>
    <t>Census Tract 1515, Cuyahoga County, Ohio</t>
  </si>
  <si>
    <t>Census Tract 1516, Cuyahoga County, Ohio</t>
  </si>
  <si>
    <t>Census Tract 1517, Cuyahoga County, Ohio</t>
  </si>
  <si>
    <t>Census Tract 1518, Cuyahoga County, Ohio</t>
  </si>
  <si>
    <t>Census Tract 1521.01, Cuyahoga County, Ohio</t>
  </si>
  <si>
    <t>Census Tract 1521.02, Cuyahoga County, Ohio</t>
  </si>
  <si>
    <t>Census Tract 1522.01, Cuyahoga County, Ohio</t>
  </si>
  <si>
    <t>Census Tract 1522.02, Cuyahoga County, Ohio</t>
  </si>
  <si>
    <t>Census Tract 1523.01, Cuyahoga County, Ohio</t>
  </si>
  <si>
    <t>Census Tract 1523.02, Cuyahoga County, Ohio</t>
  </si>
  <si>
    <t>Census Tract 1523.03, Cuyahoga County, Ohio</t>
  </si>
  <si>
    <t>Census Tract 1524, Cuyahoga County, Ohio</t>
  </si>
  <si>
    <t>Census Tract 1525.01, Cuyahoga County, Ohio</t>
  </si>
  <si>
    <t>Census Tract 1525.02, Cuyahoga County, Ohio</t>
  </si>
  <si>
    <t>Census Tract 1526.03, Cuyahoga County, Ohio</t>
  </si>
  <si>
    <t>Census Tract 1526.04, Cuyahoga County, Ohio</t>
  </si>
  <si>
    <t>Census Tract 1527.01, Cuyahoga County, Ohio</t>
  </si>
  <si>
    <t>Census Tract 1527.02, Cuyahoga County, Ohio</t>
  </si>
  <si>
    <t>Census Tract 1527.03, Cuyahoga County, Ohio</t>
  </si>
  <si>
    <t>Census Tract 1531.03, Cuyahoga County, Ohio</t>
  </si>
  <si>
    <t>Census Tract 1531.04, Cuyahoga County, Ohio</t>
  </si>
  <si>
    <t>Census Tract 1531.05, Cuyahoga County, Ohio</t>
  </si>
  <si>
    <t>Census Tract 1531.06, Cuyahoga County, Ohio</t>
  </si>
  <si>
    <t>Census Tract 1531.07, Cuyahoga County, Ohio</t>
  </si>
  <si>
    <t>Census Tract 1541, Cuyahoga County, Ohio</t>
  </si>
  <si>
    <t>Census Tract 1542, Cuyahoga County, Ohio</t>
  </si>
  <si>
    <t>Census Tract 1543, Cuyahoga County, Ohio</t>
  </si>
  <si>
    <t>Census Tract 1544, Cuyahoga County, Ohio</t>
  </si>
  <si>
    <t>Census Tract 1545.01, Cuyahoga County, Ohio</t>
  </si>
  <si>
    <t>Census Tract 1545.02, Cuyahoga County, Ohio</t>
  </si>
  <si>
    <t>Census Tract 1546.01, Cuyahoga County, Ohio</t>
  </si>
  <si>
    <t>Census Tract 1546.03, Cuyahoga County, Ohio</t>
  </si>
  <si>
    <t>Census Tract 1546.04, Cuyahoga County, Ohio</t>
  </si>
  <si>
    <t>Census Tract 1547, Cuyahoga County, Ohio</t>
  </si>
  <si>
    <t>Census Tract 1551.01, Cuyahoga County, Ohio</t>
  </si>
  <si>
    <t>Census Tract 1551.02, Cuyahoga County, Ohio</t>
  </si>
  <si>
    <t>Census Tract 1561.01, Cuyahoga County, Ohio</t>
  </si>
  <si>
    <t>Census Tract 1561.02, Cuyahoga County, Ohio</t>
  </si>
  <si>
    <t>Census Tract 1601, Cuyahoga County, Ohio</t>
  </si>
  <si>
    <t>Census Tract 1602, Cuyahoga County, Ohio</t>
  </si>
  <si>
    <t>Census Tract 1603, Cuyahoga County, Ohio</t>
  </si>
  <si>
    <t>Census Tract 1604, Cuyahoga County, Ohio</t>
  </si>
  <si>
    <t>Census Tract 1605, Cuyahoga County, Ohio</t>
  </si>
  <si>
    <t>Census Tract 1606.01, Cuyahoga County, Ohio</t>
  </si>
  <si>
    <t>Census Tract 1606.02, Cuyahoga County, Ohio</t>
  </si>
  <si>
    <t>Census Tract 1607, Cuyahoga County, Ohio</t>
  </si>
  <si>
    <t>Census Tract 1608, Cuyahoga County, Ohio</t>
  </si>
  <si>
    <t>Census Tract 1609, Cuyahoga County, Ohio</t>
  </si>
  <si>
    <t>Census Tract 1610, Cuyahoga County, Ohio</t>
  </si>
  <si>
    <t>Census Tract 1611, Cuyahoga County, Ohio</t>
  </si>
  <si>
    <t>Census Tract 1612, Cuyahoga County, Ohio</t>
  </si>
  <si>
    <t>Census Tract 1613, Cuyahoga County, Ohio</t>
  </si>
  <si>
    <t>Census Tract 1614, Cuyahoga County, Ohio</t>
  </si>
  <si>
    <t>Census Tract 1615, Cuyahoga County, Ohio</t>
  </si>
  <si>
    <t>Census Tract 1616, Cuyahoga County, Ohio</t>
  </si>
  <si>
    <t>Census Tract 1617, Cuyahoga County, Ohio</t>
  </si>
  <si>
    <t>Census Tract 1618, Cuyahoga County, Ohio</t>
  </si>
  <si>
    <t>Census Tract 1701.01, Cuyahoga County, Ohio</t>
  </si>
  <si>
    <t>Census Tract 1701.02, Cuyahoga County, Ohio</t>
  </si>
  <si>
    <t>Census Tract 1702.01, Cuyahoga County, Ohio</t>
  </si>
  <si>
    <t>Census Tract 1702.02, Cuyahoga County, Ohio</t>
  </si>
  <si>
    <t>Census Tract 1711.02, Cuyahoga County, Ohio</t>
  </si>
  <si>
    <t>Census Tract 1711.03, Cuyahoga County, Ohio</t>
  </si>
  <si>
    <t>Census Tract 1711.04, Cuyahoga County, Ohio</t>
  </si>
  <si>
    <t>Census Tract 1712.03, Cuyahoga County, Ohio</t>
  </si>
  <si>
    <t>Census Tract 1712.04, Cuyahoga County, Ohio</t>
  </si>
  <si>
    <t>Census Tract 1712.05, Cuyahoga County, Ohio</t>
  </si>
  <si>
    <t>Census Tract 1712.06, Cuyahoga County, Ohio</t>
  </si>
  <si>
    <t>Census Tract 1721.01, Cuyahoga County, Ohio</t>
  </si>
  <si>
    <t>Census Tract 1721.02, Cuyahoga County, Ohio</t>
  </si>
  <si>
    <t>Census Tract 1721.03, Cuyahoga County, Ohio</t>
  </si>
  <si>
    <t>Census Tract 1722.01, Cuyahoga County, Ohio</t>
  </si>
  <si>
    <t>Census Tract 1722.02, Cuyahoga County, Ohio</t>
  </si>
  <si>
    <t>Census Tract 1731.03, Cuyahoga County, Ohio</t>
  </si>
  <si>
    <t>Census Tract 1731.04, Cuyahoga County, Ohio</t>
  </si>
  <si>
    <t>Census Tract 1731.05, Cuyahoga County, Ohio</t>
  </si>
  <si>
    <t>Census Tract 1731.06, Cuyahoga County, Ohio</t>
  </si>
  <si>
    <t>Census Tract 1731.07, Cuyahoga County, Ohio</t>
  </si>
  <si>
    <t>Census Tract 1741.03, Cuyahoga County, Ohio</t>
  </si>
  <si>
    <t>Census Tract 1741.04, Cuyahoga County, Ohio</t>
  </si>
  <si>
    <t>Census Tract 1741.05, Cuyahoga County, Ohio</t>
  </si>
  <si>
    <t>Census Tract 1741.06, Cuyahoga County, Ohio</t>
  </si>
  <si>
    <t>Census Tract 1741.07, Cuyahoga County, Ohio</t>
  </si>
  <si>
    <t>Census Tract 1742.03, Cuyahoga County, Ohio</t>
  </si>
  <si>
    <t>Census Tract 1742.04, Cuyahoga County, Ohio</t>
  </si>
  <si>
    <t>Census Tract 1742.05, Cuyahoga County, Ohio</t>
  </si>
  <si>
    <t>Census Tract 1742.06, Cuyahoga County, Ohio</t>
  </si>
  <si>
    <t>Census Tract 1742.07, Cuyahoga County, Ohio</t>
  </si>
  <si>
    <t>Census Tract 1751.03, Cuyahoga County, Ohio</t>
  </si>
  <si>
    <t>Census Tract 1751.04, Cuyahoga County, Ohio</t>
  </si>
  <si>
    <t>Census Tract 1751.05, Cuyahoga County, Ohio</t>
  </si>
  <si>
    <t>Census Tract 1751.06, Cuyahoga County, Ohio</t>
  </si>
  <si>
    <t>Census Tract 1752.01, Cuyahoga County, Ohio</t>
  </si>
  <si>
    <t>Census Tract 1752.02, Cuyahoga County, Ohio</t>
  </si>
  <si>
    <t>Census Tract 1761, Cuyahoga County, Ohio</t>
  </si>
  <si>
    <t>Census Tract 1762, Cuyahoga County, Ohio</t>
  </si>
  <si>
    <t>Census Tract 1771.01, Cuyahoga County, Ohio</t>
  </si>
  <si>
    <t>Census Tract 1771.03, Cuyahoga County, Ohio</t>
  </si>
  <si>
    <t>Census Tract 1771.04, Cuyahoga County, Ohio</t>
  </si>
  <si>
    <t>Census Tract 1772.01, Cuyahoga County, Ohio</t>
  </si>
  <si>
    <t>Census Tract 1772.02, Cuyahoga County, Ohio</t>
  </si>
  <si>
    <t>Census Tract 1773.02, Cuyahoga County, Ohio</t>
  </si>
  <si>
    <t>Census Tract 1773.03, Cuyahoga County, Ohio</t>
  </si>
  <si>
    <t>Census Tract 1773.04, Cuyahoga County, Ohio</t>
  </si>
  <si>
    <t>Census Tract 1774.03, Cuyahoga County, Ohio</t>
  </si>
  <si>
    <t>Census Tract 1774.04, Cuyahoga County, Ohio</t>
  </si>
  <si>
    <t>Census Tract 1774.05, Cuyahoga County, Ohio</t>
  </si>
  <si>
    <t>Census Tract 1774.06, Cuyahoga County, Ohio</t>
  </si>
  <si>
    <t>Census Tract 1775.01, Cuyahoga County, Ohio</t>
  </si>
  <si>
    <t>Census Tract 1775.03, Cuyahoga County, Ohio</t>
  </si>
  <si>
    <t>Census Tract 1775.04, Cuyahoga County, Ohio</t>
  </si>
  <si>
    <t>Census Tract 1775.05, Cuyahoga County, Ohio</t>
  </si>
  <si>
    <t>Census Tract 1776.04, Cuyahoga County, Ohio</t>
  </si>
  <si>
    <t>Census Tract 1776.05, Cuyahoga County, Ohio</t>
  </si>
  <si>
    <t>Census Tract 1776.06, Cuyahoga County, Ohio</t>
  </si>
  <si>
    <t>Census Tract 1776.07, Cuyahoga County, Ohio</t>
  </si>
  <si>
    <t>Census Tract 1776.08, Cuyahoga County, Ohio</t>
  </si>
  <si>
    <t>Census Tract 1776.09, Cuyahoga County, Ohio</t>
  </si>
  <si>
    <t>Census Tract 1781.01, Cuyahoga County, Ohio</t>
  </si>
  <si>
    <t>Census Tract 1781.02, Cuyahoga County, Ohio</t>
  </si>
  <si>
    <t>Census Tract 1782.01, Cuyahoga County, Ohio</t>
  </si>
  <si>
    <t>Census Tract 1782.04, Cuyahoga County, Ohio</t>
  </si>
  <si>
    <t>Census Tract 1782.05, Cuyahoga County, Ohio</t>
  </si>
  <si>
    <t>Census Tract 1782.06, Cuyahoga County, Ohio</t>
  </si>
  <si>
    <t>Census Tract 1791.01, Cuyahoga County, Ohio</t>
  </si>
  <si>
    <t>Census Tract 1791.02, Cuyahoga County, Ohio</t>
  </si>
  <si>
    <t>Census Tract 1801.02, Cuyahoga County, Ohio</t>
  </si>
  <si>
    <t>Census Tract 1801.03, Cuyahoga County, Ohio</t>
  </si>
  <si>
    <t>Census Tract 1801.04, Cuyahoga County, Ohio</t>
  </si>
  <si>
    <t>Census Tract 1811, Cuyahoga County, Ohio</t>
  </si>
  <si>
    <t>Census Tract 1812.01, Cuyahoga County, Ohio</t>
  </si>
  <si>
    <t>Census Tract 1812.03, Cuyahoga County, Ohio</t>
  </si>
  <si>
    <t>Census Tract 1812.04, Cuyahoga County, Ohio</t>
  </si>
  <si>
    <t>Census Tract 1821.03, Cuyahoga County, Ohio</t>
  </si>
  <si>
    <t>Census Tract 1821.04, Cuyahoga County, Ohio</t>
  </si>
  <si>
    <t>Census Tract 1821.05, Cuyahoga County, Ohio</t>
  </si>
  <si>
    <t>Census Tract 1821.06, Cuyahoga County, Ohio</t>
  </si>
  <si>
    <t>Census Tract 1831, Cuyahoga County, Ohio</t>
  </si>
  <si>
    <t>Census Tract 1832, Cuyahoga County, Ohio</t>
  </si>
  <si>
    <t>Census Tract 1833, Cuyahoga County, Ohio</t>
  </si>
  <si>
    <t>Census Tract 1834.01, Cuyahoga County, Ohio</t>
  </si>
  <si>
    <t>Census Tract 1834.02, Cuyahoga County, Ohio</t>
  </si>
  <si>
    <t>Census Tract 1835.01, Cuyahoga County, Ohio</t>
  </si>
  <si>
    <t>Census Tract 1835.02, Cuyahoga County, Ohio</t>
  </si>
  <si>
    <t>Census Tract 1836.03, Cuyahoga County, Ohio</t>
  </si>
  <si>
    <t>Census Tract 1836.04, Cuyahoga County, Ohio</t>
  </si>
  <si>
    <t>Census Tract 1836.05, Cuyahoga County, Ohio</t>
  </si>
  <si>
    <t>Census Tract 1836.06, Cuyahoga County, Ohio</t>
  </si>
  <si>
    <t>Census Tract 1841.03, Cuyahoga County, Ohio</t>
  </si>
  <si>
    <t>Census Tract 1841.04, Cuyahoga County, Ohio</t>
  </si>
  <si>
    <t>Census Tract 1841.05, Cuyahoga County, Ohio</t>
  </si>
  <si>
    <t>Census Tract 1841.06, Cuyahoga County, Ohio</t>
  </si>
  <si>
    <t>Census Tract 1841.08, Cuyahoga County, Ohio</t>
  </si>
  <si>
    <t>Census Tract 1851.01, Cuyahoga County, Ohio</t>
  </si>
  <si>
    <t>Census Tract 1851.02, Cuyahoga County, Ohio</t>
  </si>
  <si>
    <t>Census Tract 1851.03, Cuyahoga County, Ohio</t>
  </si>
  <si>
    <t>Census Tract 1851.04, Cuyahoga County, Ohio</t>
  </si>
  <si>
    <t>Census Tract 1852.01, Cuyahoga County, Ohio</t>
  </si>
  <si>
    <t>Census Tract 1852.02, Cuyahoga County, Ohio</t>
  </si>
  <si>
    <t>Census Tract 1852.03, Cuyahoga County, Ohio</t>
  </si>
  <si>
    <t>Census Tract 1861.03, Cuyahoga County, Ohio</t>
  </si>
  <si>
    <t>Census Tract 1861.04, Cuyahoga County, Ohio</t>
  </si>
  <si>
    <t>Census Tract 1861.05, Cuyahoga County, Ohio</t>
  </si>
  <si>
    <t>Census Tract 1861.06, Cuyahoga County, Ohio</t>
  </si>
  <si>
    <t>Census Tract 1861.07, Cuyahoga County, Ohio</t>
  </si>
  <si>
    <t>Census Tract 1862.01, Cuyahoga County, Ohio</t>
  </si>
  <si>
    <t>Census Tract 1862.02, Cuyahoga County, Ohio</t>
  </si>
  <si>
    <t>Census Tract 1862.03, Cuyahoga County, Ohio</t>
  </si>
  <si>
    <t>Census Tract 1862.05, Cuyahoga County, Ohio</t>
  </si>
  <si>
    <t>Census Tract 1862.06, Cuyahoga County, Ohio</t>
  </si>
  <si>
    <t>Census Tract 1871.03, Cuyahoga County, Ohio</t>
  </si>
  <si>
    <t>Census Tract 1871.04, Cuyahoga County, Ohio</t>
  </si>
  <si>
    <t>Census Tract 1871.05, Cuyahoga County, Ohio</t>
  </si>
  <si>
    <t>Census Tract 1871.06, Cuyahoga County, Ohio</t>
  </si>
  <si>
    <t>Census Tract 1881.03, Cuyahoga County, Ohio</t>
  </si>
  <si>
    <t>Census Tract 1881.04, Cuyahoga County, Ohio</t>
  </si>
  <si>
    <t>Census Tract 1881.05, Cuyahoga County, Ohio</t>
  </si>
  <si>
    <t>Census Tract 1881.06, Cuyahoga County, Ohio</t>
  </si>
  <si>
    <t>Census Tract 1881.07, Cuyahoga County, Ohio</t>
  </si>
  <si>
    <t>Census Tract 1891.05, Cuyahoga County, Ohio</t>
  </si>
  <si>
    <t>Census Tract 1891.07, Cuyahoga County, Ohio</t>
  </si>
  <si>
    <t>Census Tract 1891.08, Cuyahoga County, Ohio</t>
  </si>
  <si>
    <t>Census Tract 1891.09, Cuyahoga County, Ohio</t>
  </si>
  <si>
    <t>Census Tract 1891.10, Cuyahoga County, Ohio</t>
  </si>
  <si>
    <t>Census Tract 1891.11, Cuyahoga County, Ohio</t>
  </si>
  <si>
    <t>Census Tract 1891.12, Cuyahoga County, Ohio</t>
  </si>
  <si>
    <t>Census Tract 1905.02, Cuyahoga County, Ohio</t>
  </si>
  <si>
    <t>Census Tract 1905.03, Cuyahoga County, Ohio</t>
  </si>
  <si>
    <t>Census Tract 1905.04, Cuyahoga County, Ohio</t>
  </si>
  <si>
    <t>Census Tract 1923, Cuyahoga County, Ohio</t>
  </si>
  <si>
    <t>Census Tract 1928, Cuyahoga County, Ohio</t>
  </si>
  <si>
    <t>Census Tract 1929, Cuyahoga County, Ohio</t>
  </si>
  <si>
    <t>Census Tract 1938, Cuyahoga County, Ohio</t>
  </si>
  <si>
    <t>Census Tract 1939, Cuyahoga County, Ohio</t>
  </si>
  <si>
    <t>Census Tract 1941, Cuyahoga County, Ohio</t>
  </si>
  <si>
    <t>Census Tract 1943, Cuyahoga County, Ohio</t>
  </si>
  <si>
    <t>Census Tract 1945, Cuyahoga County, Ohio</t>
  </si>
  <si>
    <t>Census Tract 1948, Cuyahoga County, Ohio</t>
  </si>
  <si>
    <t>Census Tract 1949, Cuyahoga County, Ohio</t>
  </si>
  <si>
    <t>Census Tract 1956, Cuyahoga County, Ohio</t>
  </si>
  <si>
    <t>Census Tract 1957, Cuyahoga County, Ohio</t>
  </si>
  <si>
    <t>Census Tract 1958, Cuyahoga County, Ohio</t>
  </si>
  <si>
    <t>Census Tract 1959, Cuyahoga County, Ohio</t>
  </si>
  <si>
    <t>Census Tract 1960, Cuyahoga County, Ohio</t>
  </si>
  <si>
    <t>Census Tract 1961, Cuyahoga County, Ohio</t>
  </si>
  <si>
    <t>Census Tract 1962, Cuyahoga County, Ohio</t>
  </si>
  <si>
    <t>Census Tract 1963, Cuyahoga County, Ohio</t>
  </si>
  <si>
    <t>Census Tract 1964, Cuyahoga County, Ohio</t>
  </si>
  <si>
    <t>Census Tract 1965, Cuyahoga County, Ohio</t>
  </si>
  <si>
    <t>Census Tract 9801, Cuyahoga County, Ohio</t>
  </si>
  <si>
    <t>Census Tract 9805, Cuyahoga County, Ohio</t>
  </si>
  <si>
    <t>Census Tract 9811, Cuyahoga County, Ohio</t>
  </si>
  <si>
    <t>Census Tract 5001, Darke County, Ohio</t>
  </si>
  <si>
    <t>Census Tract 5101, Darke County, Ohio</t>
  </si>
  <si>
    <t>Census Tract 5201, Darke County, Ohio</t>
  </si>
  <si>
    <t>Census Tract 5301, Darke County, Ohio</t>
  </si>
  <si>
    <t>Census Tract 5401, Darke County, Ohio</t>
  </si>
  <si>
    <t>Census Tract 5501, Darke County, Ohio</t>
  </si>
  <si>
    <t>Census Tract 5550, Darke County, Ohio</t>
  </si>
  <si>
    <t>Census Tract 5551.01, Darke County, Ohio</t>
  </si>
  <si>
    <t>Census Tract 5551.02, Darke County, Ohio</t>
  </si>
  <si>
    <t>Census Tract 5601, Darke County, Ohio</t>
  </si>
  <si>
    <t>Census Tract 5701.01, Darke County, Ohio</t>
  </si>
  <si>
    <t>Census Tract 5701.02, Darke County, Ohio</t>
  </si>
  <si>
    <t>Census Tract 9581, Defiance County, Ohio</t>
  </si>
  <si>
    <t>Census Tract 9582, Defiance County, Ohio</t>
  </si>
  <si>
    <t>Census Tract 9583, Defiance County, Ohio</t>
  </si>
  <si>
    <t>Census Tract 9584, Defiance County, Ohio</t>
  </si>
  <si>
    <t>Census Tract 9585, Defiance County, Ohio</t>
  </si>
  <si>
    <t>Census Tract 9586, Defiance County, Ohio</t>
  </si>
  <si>
    <t>Census Tract 9587, Defiance County, Ohio</t>
  </si>
  <si>
    <t>Census Tract 9588, Defiance County, Ohio</t>
  </si>
  <si>
    <t>Census Tract 9589, Defiance County, Ohio</t>
  </si>
  <si>
    <t>Census Tract 101, Delaware County, Ohio</t>
  </si>
  <si>
    <t>Census Tract 102, Delaware County, Ohio</t>
  </si>
  <si>
    <t>Census Tract 104.20, Delaware County, Ohio</t>
  </si>
  <si>
    <t>Census Tract 104.21, Delaware County, Ohio</t>
  </si>
  <si>
    <t>Census Tract 104.22, Delaware County, Ohio</t>
  </si>
  <si>
    <t>Census Tract 105.20, Delaware County, Ohio</t>
  </si>
  <si>
    <t>Census Tract 105.30, Delaware County, Ohio</t>
  </si>
  <si>
    <t>Census Tract 111.01, Delaware County, Ohio</t>
  </si>
  <si>
    <t>Census Tract 111.02, Delaware County, Ohio</t>
  </si>
  <si>
    <t>Census Tract 112, Delaware County, Ohio</t>
  </si>
  <si>
    <t>Census Tract 114.11, Delaware County, Ohio</t>
  </si>
  <si>
    <t>Census Tract 114.12, Delaware County, Ohio</t>
  </si>
  <si>
    <t>Census Tract 114.13, Delaware County, Ohio</t>
  </si>
  <si>
    <t>Census Tract 114.21, Delaware County, Ohio</t>
  </si>
  <si>
    <t>Census Tract 114.23, Delaware County, Ohio</t>
  </si>
  <si>
    <t>Census Tract 114.30, Delaware County, Ohio</t>
  </si>
  <si>
    <t>Census Tract 115.20, Delaware County, Ohio</t>
  </si>
  <si>
    <t>Census Tract 115.30, Delaware County, Ohio</t>
  </si>
  <si>
    <t>Census Tract 115.40, Delaware County, Ohio</t>
  </si>
  <si>
    <t>Census Tract 115.50, Delaware County, Ohio</t>
  </si>
  <si>
    <t>Census Tract 115.60, Delaware County, Ohio</t>
  </si>
  <si>
    <t>Census Tract 115.61, Delaware County, Ohio</t>
  </si>
  <si>
    <t>Census Tract 116.04, Delaware County, Ohio</t>
  </si>
  <si>
    <t>Census Tract 117.10, Delaware County, Ohio</t>
  </si>
  <si>
    <t>Census Tract 117.30, Delaware County, Ohio</t>
  </si>
  <si>
    <t>Census Tract 117.40, Delaware County, Ohio</t>
  </si>
  <si>
    <t>Census Tract 117.50, Delaware County, Ohio</t>
  </si>
  <si>
    <t>Census Tract 117.60, Delaware County, Ohio</t>
  </si>
  <si>
    <t>Census Tract 117.62, Delaware County, Ohio</t>
  </si>
  <si>
    <t>Census Tract 119, Delaware County, Ohio</t>
  </si>
  <si>
    <t>Census Tract 120, Delaware County, Ohio</t>
  </si>
  <si>
    <t>Census Tract 121, Delaware County, Ohio</t>
  </si>
  <si>
    <t>Census Tract 122, Delaware County, Ohio</t>
  </si>
  <si>
    <t>Census Tract 123, Delaware County, Ohio</t>
  </si>
  <si>
    <t>Census Tract 124, Delaware County, Ohio</t>
  </si>
  <si>
    <t>Census Tract 401, Erie County, Ohio</t>
  </si>
  <si>
    <t>Census Tract 402, Erie County, Ohio</t>
  </si>
  <si>
    <t>Census Tract 403, Erie County, Ohio</t>
  </si>
  <si>
    <t>Census Tract 404, Erie County, Ohio</t>
  </si>
  <si>
    <t>Census Tract 405, Erie County, Ohio</t>
  </si>
  <si>
    <t>Census Tract 406, Erie County, Ohio</t>
  </si>
  <si>
    <t>Census Tract 407, Erie County, Ohio</t>
  </si>
  <si>
    <t>Census Tract 408, Erie County, Ohio</t>
  </si>
  <si>
    <t>Census Tract 409, Erie County, Ohio</t>
  </si>
  <si>
    <t>Census Tract 410, Erie County, Ohio</t>
  </si>
  <si>
    <t>Census Tract 411, Erie County, Ohio</t>
  </si>
  <si>
    <t>Census Tract 412, Erie County, Ohio</t>
  </si>
  <si>
    <t>Census Tract 413, Erie County, Ohio</t>
  </si>
  <si>
    <t>Census Tract 414, Erie County, Ohio</t>
  </si>
  <si>
    <t>Census Tract 415, Erie County, Ohio</t>
  </si>
  <si>
    <t>Census Tract 416, Erie County, Ohio</t>
  </si>
  <si>
    <t>Census Tract 417, Erie County, Ohio</t>
  </si>
  <si>
    <t>Census Tract 418, Erie County, Ohio</t>
  </si>
  <si>
    <t>Census Tract 301, Fairfield County, Ohio</t>
  </si>
  <si>
    <t>Census Tract 302, Fairfield County, Ohio</t>
  </si>
  <si>
    <t>Census Tract 303, Fairfield County, Ohio</t>
  </si>
  <si>
    <t>Census Tract 304, Fairfield County, Ohio</t>
  </si>
  <si>
    <t>Census Tract 306, Fairfield County, Ohio</t>
  </si>
  <si>
    <t>Census Tract 307, Fairfield County, Ohio</t>
  </si>
  <si>
    <t>Census Tract 308, Fairfield County, Ohio</t>
  </si>
  <si>
    <t>Census Tract 309, Fairfield County, Ohio</t>
  </si>
  <si>
    <t>Census Tract 310, Fairfield County, Ohio</t>
  </si>
  <si>
    <t>Census Tract 311, Fairfield County, Ohio</t>
  </si>
  <si>
    <t>Census Tract 312, Fairfield County, Ohio</t>
  </si>
  <si>
    <t>Census Tract 313, Fairfield County, Ohio</t>
  </si>
  <si>
    <t>Census Tract 314, Fairfield County, Ohio</t>
  </si>
  <si>
    <t>Census Tract 315, Fairfield County, Ohio</t>
  </si>
  <si>
    <t>Census Tract 316, Fairfield County, Ohio</t>
  </si>
  <si>
    <t>Census Tract 317, Fairfield County, Ohio</t>
  </si>
  <si>
    <t>Census Tract 320, Fairfield County, Ohio</t>
  </si>
  <si>
    <t>Census Tract 321, Fairfield County, Ohio</t>
  </si>
  <si>
    <t>Census Tract 322, Fairfield County, Ohio</t>
  </si>
  <si>
    <t>Census Tract 323, Fairfield County, Ohio</t>
  </si>
  <si>
    <t>Census Tract 325, Fairfield County, Ohio</t>
  </si>
  <si>
    <t>Census Tract 326, Fairfield County, Ohio</t>
  </si>
  <si>
    <t>Census Tract 327.01, Fairfield County, Ohio</t>
  </si>
  <si>
    <t>Census Tract 327.02, Fairfield County, Ohio</t>
  </si>
  <si>
    <t>Census Tract 328, Fairfield County, Ohio</t>
  </si>
  <si>
    <t>Census Tract 329, Fairfield County, Ohio</t>
  </si>
  <si>
    <t>Census Tract 330, Fairfield County, Ohio</t>
  </si>
  <si>
    <t>Census Tract 331, Fairfield County, Ohio</t>
  </si>
  <si>
    <t>Census Tract 9258, Fayette County, Ohio</t>
  </si>
  <si>
    <t>Census Tract 9259, Fayette County, Ohio</t>
  </si>
  <si>
    <t>Census Tract 9260, Fayette County, Ohio</t>
  </si>
  <si>
    <t>Census Tract 9261, Fayette County, Ohio</t>
  </si>
  <si>
    <t>Census Tract 9262, Fayette County, Ohio</t>
  </si>
  <si>
    <t>Census Tract 9263, Fayette County, Ohio</t>
  </si>
  <si>
    <t>Census Tract 9264, Fayette County, Ohio</t>
  </si>
  <si>
    <t>Census Tract 1.10, Franklin County, Ohio</t>
  </si>
  <si>
    <t>Census Tract 1.20, Franklin County, Ohio</t>
  </si>
  <si>
    <t>Census Tract 2.10, Franklin County, Ohio</t>
  </si>
  <si>
    <t>Census Tract 2.20, Franklin County, Ohio</t>
  </si>
  <si>
    <t>Census Tract 3.10, Franklin County, Ohio</t>
  </si>
  <si>
    <t>Census Tract 3.20, Franklin County, Ohio</t>
  </si>
  <si>
    <t>Census Tract 3.30, Franklin County, Ohio</t>
  </si>
  <si>
    <t>Census Tract 4.10, Franklin County, Ohio</t>
  </si>
  <si>
    <t>Census Tract 4.20, Franklin County, Ohio</t>
  </si>
  <si>
    <t>Census Tract 5, Franklin County, Ohio</t>
  </si>
  <si>
    <t>Census Tract 6, Franklin County, Ohio</t>
  </si>
  <si>
    <t>Census Tract 7.10, Franklin County, Ohio</t>
  </si>
  <si>
    <t>Census Tract 7.20, Franklin County, Ohio</t>
  </si>
  <si>
    <t>Census Tract 7.30, Franklin County, Ohio</t>
  </si>
  <si>
    <t>Census Tract 8.10, Franklin County, Ohio</t>
  </si>
  <si>
    <t>Census Tract 8.20, Franklin County, Ohio</t>
  </si>
  <si>
    <t>Census Tract 9.10, Franklin County, Ohio</t>
  </si>
  <si>
    <t>Census Tract 9.20, Franklin County, Ohio</t>
  </si>
  <si>
    <t>Census Tract 10, Franklin County, Ohio</t>
  </si>
  <si>
    <t>Census Tract 11.10, Franklin County, Ohio</t>
  </si>
  <si>
    <t>Census Tract 11.21, Franklin County, Ohio</t>
  </si>
  <si>
    <t>Census Tract 11.22, Franklin County, Ohio</t>
  </si>
  <si>
    <t>Census Tract 12, Franklin County, Ohio</t>
  </si>
  <si>
    <t>Census Tract 13, Franklin County, Ohio</t>
  </si>
  <si>
    <t>Census Tract 14, Franklin County, Ohio</t>
  </si>
  <si>
    <t>Census Tract 15, Franklin County, Ohio</t>
  </si>
  <si>
    <t>Census Tract 16, Franklin County, Ohio</t>
  </si>
  <si>
    <t>Census Tract 17, Franklin County, Ohio</t>
  </si>
  <si>
    <t>Census Tract 18.10, Franklin County, Ohio</t>
  </si>
  <si>
    <t>Census Tract 18.20, Franklin County, Ohio</t>
  </si>
  <si>
    <t>Census Tract 19.01, Franklin County, Ohio</t>
  </si>
  <si>
    <t>Census Tract 19.02, Franklin County, Ohio</t>
  </si>
  <si>
    <t>Census Tract 20, Franklin County, Ohio</t>
  </si>
  <si>
    <t>Census Tract 21, Franklin County, Ohio</t>
  </si>
  <si>
    <t>Census Tract 22, Franklin County, Ohio</t>
  </si>
  <si>
    <t>Census Tract 23, Franklin County, Ohio</t>
  </si>
  <si>
    <t>Census Tract 25.10, Franklin County, Ohio</t>
  </si>
  <si>
    <t>Census Tract 25.20, Franklin County, Ohio</t>
  </si>
  <si>
    <t>Census Tract 26, Franklin County, Ohio</t>
  </si>
  <si>
    <t>Census Tract 27.10, Franklin County, Ohio</t>
  </si>
  <si>
    <t>Census Tract 27.30, Franklin County, Ohio</t>
  </si>
  <si>
    <t>Census Tract 27.40, Franklin County, Ohio</t>
  </si>
  <si>
    <t>Census Tract 27.50, Franklin County, Ohio</t>
  </si>
  <si>
    <t>Census Tract 27.60, Franklin County, Ohio</t>
  </si>
  <si>
    <t>Census Tract 27.70, Franklin County, Ohio</t>
  </si>
  <si>
    <t>Census Tract 27.80, Franklin County, Ohio</t>
  </si>
  <si>
    <t>Census Tract 28, Franklin County, Ohio</t>
  </si>
  <si>
    <t>Census Tract 29, Franklin County, Ohio</t>
  </si>
  <si>
    <t>Census Tract 30, Franklin County, Ohio</t>
  </si>
  <si>
    <t>Census Tract 32, Franklin County, Ohio</t>
  </si>
  <si>
    <t>Census Tract 36, Franklin County, Ohio</t>
  </si>
  <si>
    <t>Census Tract 37, Franklin County, Ohio</t>
  </si>
  <si>
    <t>Census Tract 38, Franklin County, Ohio</t>
  </si>
  <si>
    <t>Census Tract 40, Franklin County, Ohio</t>
  </si>
  <si>
    <t>Census Tract 42, Franklin County, Ohio</t>
  </si>
  <si>
    <t>Census Tract 43, Franklin County, Ohio</t>
  </si>
  <si>
    <t>Census Tract 45, Franklin County, Ohio</t>
  </si>
  <si>
    <t>Census Tract 46.10, Franklin County, Ohio</t>
  </si>
  <si>
    <t>Census Tract 46.20, Franklin County, Ohio</t>
  </si>
  <si>
    <t>Census Tract 47, Franklin County, Ohio</t>
  </si>
  <si>
    <t>Census Tract 48.10, Franklin County, Ohio</t>
  </si>
  <si>
    <t>Census Tract 48.20, Franklin County, Ohio</t>
  </si>
  <si>
    <t>Census Tract 49, Franklin County, Ohio</t>
  </si>
  <si>
    <t>Census Tract 50, Franklin County, Ohio</t>
  </si>
  <si>
    <t>Census Tract 51, Franklin County, Ohio</t>
  </si>
  <si>
    <t>Census Tract 52, Franklin County, Ohio</t>
  </si>
  <si>
    <t>Census Tract 53, Franklin County, Ohio</t>
  </si>
  <si>
    <t>Census Tract 54.10, Franklin County, Ohio</t>
  </si>
  <si>
    <t>Census Tract 54.20, Franklin County, Ohio</t>
  </si>
  <si>
    <t>Census Tract 55, Franklin County, Ohio</t>
  </si>
  <si>
    <t>Census Tract 56.10, Franklin County, Ohio</t>
  </si>
  <si>
    <t>Census Tract 56.20, Franklin County, Ohio</t>
  </si>
  <si>
    <t>Census Tract 57, Franklin County, Ohio</t>
  </si>
  <si>
    <t>Census Tract 58.10, Franklin County, Ohio</t>
  </si>
  <si>
    <t>Census Tract 58.20, Franklin County, Ohio</t>
  </si>
  <si>
    <t>Census Tract 59, Franklin County, Ohio</t>
  </si>
  <si>
    <t>Census Tract 60, Franklin County, Ohio</t>
  </si>
  <si>
    <t>Census Tract 61, Franklin County, Ohio</t>
  </si>
  <si>
    <t>Census Tract 62.20, Franklin County, Ohio</t>
  </si>
  <si>
    <t>Census Tract 62.30, Franklin County, Ohio</t>
  </si>
  <si>
    <t>Census Tract 62.36, Franklin County, Ohio</t>
  </si>
  <si>
    <t>Census Tract 63.10, Franklin County, Ohio</t>
  </si>
  <si>
    <t>Census Tract 63.21, Franklin County, Ohio</t>
  </si>
  <si>
    <t>Census Tract 63.23, Franklin County, Ohio</t>
  </si>
  <si>
    <t>Census Tract 63.30, Franklin County, Ohio</t>
  </si>
  <si>
    <t>Census Tract 63.40, Franklin County, Ohio</t>
  </si>
  <si>
    <t>Census Tract 63.51, Franklin County, Ohio</t>
  </si>
  <si>
    <t>Census Tract 63.52, Franklin County, Ohio</t>
  </si>
  <si>
    <t>Census Tract 63.53, Franklin County, Ohio</t>
  </si>
  <si>
    <t>Census Tract 63.71, Franklin County, Ohio</t>
  </si>
  <si>
    <t>Census Tract 63.72, Franklin County, Ohio</t>
  </si>
  <si>
    <t>Census Tract 63.83, Franklin County, Ohio</t>
  </si>
  <si>
    <t>Census Tract 63.84, Franklin County, Ohio</t>
  </si>
  <si>
    <t>Census Tract 63.86, Franklin County, Ohio</t>
  </si>
  <si>
    <t>Census Tract 63.87, Franklin County, Ohio</t>
  </si>
  <si>
    <t>Census Tract 63.91, Franklin County, Ohio</t>
  </si>
  <si>
    <t>Census Tract 63.92, Franklin County, Ohio</t>
  </si>
  <si>
    <t>Census Tract 63.93, Franklin County, Ohio</t>
  </si>
  <si>
    <t>Census Tract 63.94, Franklin County, Ohio</t>
  </si>
  <si>
    <t>Census Tract 63.95, Franklin County, Ohio</t>
  </si>
  <si>
    <t>Census Tract 63.96, Franklin County, Ohio</t>
  </si>
  <si>
    <t>Census Tract 64.10, Franklin County, Ohio</t>
  </si>
  <si>
    <t>Census Tract 64.30, Franklin County, Ohio</t>
  </si>
  <si>
    <t>Census Tract 65, Franklin County, Ohio</t>
  </si>
  <si>
    <t>Census Tract 66, Franklin County, Ohio</t>
  </si>
  <si>
    <t>Census Tract 67.10, Franklin County, Ohio</t>
  </si>
  <si>
    <t>Census Tract 67.21, Franklin County, Ohio</t>
  </si>
  <si>
    <t>Census Tract 67.22, Franklin County, Ohio</t>
  </si>
  <si>
    <t>Census Tract 68.10, Franklin County, Ohio</t>
  </si>
  <si>
    <t>Census Tract 68.21, Franklin County, Ohio</t>
  </si>
  <si>
    <t>Census Tract 68.22, Franklin County, Ohio</t>
  </si>
  <si>
    <t>Census Tract 69.10, Franklin County, Ohio</t>
  </si>
  <si>
    <t>Census Tract 69.21, Franklin County, Ohio</t>
  </si>
  <si>
    <t>Census Tract 69.23, Franklin County, Ohio</t>
  </si>
  <si>
    <t>Census Tract 69.24, Franklin County, Ohio</t>
  </si>
  <si>
    <t>Census Tract 69.31, Franklin County, Ohio</t>
  </si>
  <si>
    <t>Census Tract 69.32, Franklin County, Ohio</t>
  </si>
  <si>
    <t>Census Tract 69.33, Franklin County, Ohio</t>
  </si>
  <si>
    <t>Census Tract 69.42, Franklin County, Ohio</t>
  </si>
  <si>
    <t>Census Tract 69.43, Franklin County, Ohio</t>
  </si>
  <si>
    <t>Census Tract 69.44, Franklin County, Ohio</t>
  </si>
  <si>
    <t>Census Tract 69.45, Franklin County, Ohio</t>
  </si>
  <si>
    <t>Census Tract 69.50, Franklin County, Ohio</t>
  </si>
  <si>
    <t>Census Tract 69.90, Franklin County, Ohio</t>
  </si>
  <si>
    <t>Census Tract 70.10, Franklin County, Ohio</t>
  </si>
  <si>
    <t>Census Tract 70.20, Franklin County, Ohio</t>
  </si>
  <si>
    <t>Census Tract 70.41, Franklin County, Ohio</t>
  </si>
  <si>
    <t>Census Tract 70.43, Franklin County, Ohio</t>
  </si>
  <si>
    <t>Census Tract 70.44, Franklin County, Ohio</t>
  </si>
  <si>
    <t>Census Tract 70.47, Franklin County, Ohio</t>
  </si>
  <si>
    <t>Census Tract 70.48, Franklin County, Ohio</t>
  </si>
  <si>
    <t>Census Tract 71.12, Franklin County, Ohio</t>
  </si>
  <si>
    <t>Census Tract 71.13, Franklin County, Ohio</t>
  </si>
  <si>
    <t>Census Tract 71.14, Franklin County, Ohio</t>
  </si>
  <si>
    <t>Census Tract 71.15, Franklin County, Ohio</t>
  </si>
  <si>
    <t>Census Tract 71.20, Franklin County, Ohio</t>
  </si>
  <si>
    <t>Census Tract 71.32, Franklin County, Ohio</t>
  </si>
  <si>
    <t>Census Tract 71.93, Franklin County, Ohio</t>
  </si>
  <si>
    <t>Census Tract 71.94, Franklin County, Ohio</t>
  </si>
  <si>
    <t>Census Tract 71.98, Franklin County, Ohio</t>
  </si>
  <si>
    <t>Census Tract 71.99, Franklin County, Ohio</t>
  </si>
  <si>
    <t>Census Tract 72.01, Franklin County, Ohio</t>
  </si>
  <si>
    <t>Census Tract 72.02, Franklin County, Ohio</t>
  </si>
  <si>
    <t>Census Tract 72.03, Franklin County, Ohio</t>
  </si>
  <si>
    <t>Census Tract 72.05, Franklin County, Ohio</t>
  </si>
  <si>
    <t>Census Tract 72.07, Franklin County, Ohio</t>
  </si>
  <si>
    <t>Census Tract 72.09, Franklin County, Ohio</t>
  </si>
  <si>
    <t>Census Tract 72.10, Franklin County, Ohio</t>
  </si>
  <si>
    <t>Census Tract 73.93, Franklin County, Ohio</t>
  </si>
  <si>
    <t>Census Tract 73.94, Franklin County, Ohio</t>
  </si>
  <si>
    <t>Census Tract 73.95, Franklin County, Ohio</t>
  </si>
  <si>
    <t>Census Tract 73.96, Franklin County, Ohio</t>
  </si>
  <si>
    <t>Census Tract 74.24, Franklin County, Ohio</t>
  </si>
  <si>
    <t>Census Tract 74.25, Franklin County, Ohio</t>
  </si>
  <si>
    <t>Census Tract 74.26, Franklin County, Ohio</t>
  </si>
  <si>
    <t>Census Tract 74.27, Franklin County, Ohio</t>
  </si>
  <si>
    <t>Census Tract 74.92, Franklin County, Ohio</t>
  </si>
  <si>
    <t>Census Tract 74.94, Franklin County, Ohio</t>
  </si>
  <si>
    <t>Census Tract 75.11, Franklin County, Ohio</t>
  </si>
  <si>
    <t>Census Tract 75.12, Franklin County, Ohio</t>
  </si>
  <si>
    <t>Census Tract 75.20, Franklin County, Ohio</t>
  </si>
  <si>
    <t>Census Tract 75.31, Franklin County, Ohio</t>
  </si>
  <si>
    <t>Census Tract 75.32, Franklin County, Ohio</t>
  </si>
  <si>
    <t>Census Tract 75.33, Franklin County, Ohio</t>
  </si>
  <si>
    <t>Census Tract 75.34, Franklin County, Ohio</t>
  </si>
  <si>
    <t>Census Tract 75.50, Franklin County, Ohio</t>
  </si>
  <si>
    <t>Census Tract 75.51, Franklin County, Ohio</t>
  </si>
  <si>
    <t>Census Tract 77.10, Franklin County, Ohio</t>
  </si>
  <si>
    <t>Census Tract 77.21, Franklin County, Ohio</t>
  </si>
  <si>
    <t>Census Tract 77.22, Franklin County, Ohio</t>
  </si>
  <si>
    <t>Census Tract 77.30, Franklin County, Ohio</t>
  </si>
  <si>
    <t>Census Tract 77.40, Franklin County, Ohio</t>
  </si>
  <si>
    <t>Census Tract 78.11, Franklin County, Ohio</t>
  </si>
  <si>
    <t>Census Tract 78.12, Franklin County, Ohio</t>
  </si>
  <si>
    <t>Census Tract 78.20, Franklin County, Ohio</t>
  </si>
  <si>
    <t>Census Tract 78.30, Franklin County, Ohio</t>
  </si>
  <si>
    <t>Census Tract 79.21, Franklin County, Ohio</t>
  </si>
  <si>
    <t>Census Tract 79.22, Franklin County, Ohio</t>
  </si>
  <si>
    <t>Census Tract 79.31, Franklin County, Ohio</t>
  </si>
  <si>
    <t>Census Tract 79.33, Franklin County, Ohio</t>
  </si>
  <si>
    <t>Census Tract 79.41, Franklin County, Ohio</t>
  </si>
  <si>
    <t>Census Tract 79.51, Franklin County, Ohio</t>
  </si>
  <si>
    <t>Census Tract 79.52, Franklin County, Ohio</t>
  </si>
  <si>
    <t>Census Tract 79.53, Franklin County, Ohio</t>
  </si>
  <si>
    <t>Census Tract 79.54, Franklin County, Ohio</t>
  </si>
  <si>
    <t>Census Tract 80, Franklin County, Ohio</t>
  </si>
  <si>
    <t>Census Tract 81.10, Franklin County, Ohio</t>
  </si>
  <si>
    <t>Census Tract 81.20, Franklin County, Ohio</t>
  </si>
  <si>
    <t>Census Tract 81.32, Franklin County, Ohio</t>
  </si>
  <si>
    <t>Census Tract 81.41, Franklin County, Ohio</t>
  </si>
  <si>
    <t>Census Tract 81.42, Franklin County, Ohio</t>
  </si>
  <si>
    <t>Census Tract 81.61, Franklin County, Ohio</t>
  </si>
  <si>
    <t>Census Tract 81.62, Franklin County, Ohio</t>
  </si>
  <si>
    <t>Census Tract 81.63, Franklin County, Ohio</t>
  </si>
  <si>
    <t>Census Tract 81.64, Franklin County, Ohio</t>
  </si>
  <si>
    <t>Census Tract 82.10, Franklin County, Ohio</t>
  </si>
  <si>
    <t>Census Tract 82.30, Franklin County, Ohio</t>
  </si>
  <si>
    <t>Census Tract 82.41, Franklin County, Ohio</t>
  </si>
  <si>
    <t>Census Tract 82.42, Franklin County, Ohio</t>
  </si>
  <si>
    <t>Census Tract 83.11, Franklin County, Ohio</t>
  </si>
  <si>
    <t>Census Tract 83.12, Franklin County, Ohio</t>
  </si>
  <si>
    <t>Census Tract 83.21, Franklin County, Ohio</t>
  </si>
  <si>
    <t>Census Tract 83.22, Franklin County, Ohio</t>
  </si>
  <si>
    <t>Census Tract 83.30, Franklin County, Ohio</t>
  </si>
  <si>
    <t>Census Tract 83.40, Franklin County, Ohio</t>
  </si>
  <si>
    <t>Census Tract 83.50, Franklin County, Ohio</t>
  </si>
  <si>
    <t>Census Tract 83.60, Franklin County, Ohio</t>
  </si>
  <si>
    <t>Census Tract 83.70, Franklin County, Ohio</t>
  </si>
  <si>
    <t>Census Tract 83.80, Franklin County, Ohio</t>
  </si>
  <si>
    <t>Census Tract 84, Franklin County, Ohio</t>
  </si>
  <si>
    <t>Census Tract 85, Franklin County, Ohio</t>
  </si>
  <si>
    <t>Census Tract 87.10, Franklin County, Ohio</t>
  </si>
  <si>
    <t>Census Tract 87.20, Franklin County, Ohio</t>
  </si>
  <si>
    <t>Census Tract 87.30, Franklin County, Ohio</t>
  </si>
  <si>
    <t>Census Tract 88.11, Franklin County, Ohio</t>
  </si>
  <si>
    <t>Census Tract 88.12, Franklin County, Ohio</t>
  </si>
  <si>
    <t>Census Tract 88.13, Franklin County, Ohio</t>
  </si>
  <si>
    <t>Census Tract 88.21, Franklin County, Ohio</t>
  </si>
  <si>
    <t>Census Tract 88.22, Franklin County, Ohio</t>
  </si>
  <si>
    <t>Census Tract 88.25, Franklin County, Ohio</t>
  </si>
  <si>
    <t>Census Tract 89, Franklin County, Ohio</t>
  </si>
  <si>
    <t>Census Tract 90, Franklin County, Ohio</t>
  </si>
  <si>
    <t>Census Tract 91, Franklin County, Ohio</t>
  </si>
  <si>
    <t>Census Tract 92.10, Franklin County, Ohio</t>
  </si>
  <si>
    <t>Census Tract 92.20, Franklin County, Ohio</t>
  </si>
  <si>
    <t>Census Tract 92.30, Franklin County, Ohio</t>
  </si>
  <si>
    <t>Census Tract 92.40, Franklin County, Ohio</t>
  </si>
  <si>
    <t>Census Tract 92.50, Franklin County, Ohio</t>
  </si>
  <si>
    <t>Census Tract 93.11, Franklin County, Ohio</t>
  </si>
  <si>
    <t>Census Tract 93.12, Franklin County, Ohio</t>
  </si>
  <si>
    <t>Census Tract 93.21, Franklin County, Ohio</t>
  </si>
  <si>
    <t>Census Tract 93.22, Franklin County, Ohio</t>
  </si>
  <si>
    <t>Census Tract 93.23, Franklin County, Ohio</t>
  </si>
  <si>
    <t>Census Tract 93.25, Franklin County, Ohio</t>
  </si>
  <si>
    <t>Census Tract 93.26, Franklin County, Ohio</t>
  </si>
  <si>
    <t>Census Tract 93.31, Franklin County, Ohio</t>
  </si>
  <si>
    <t>Census Tract 93.32, Franklin County, Ohio</t>
  </si>
  <si>
    <t>Census Tract 93.33, Franklin County, Ohio</t>
  </si>
  <si>
    <t>Census Tract 93.34, Franklin County, Ohio</t>
  </si>
  <si>
    <t>Census Tract 93.36, Franklin County, Ohio</t>
  </si>
  <si>
    <t>Census Tract 93.37, Franklin County, Ohio</t>
  </si>
  <si>
    <t>Census Tract 93.40, Franklin County, Ohio</t>
  </si>
  <si>
    <t>Census Tract 93.50, Franklin County, Ohio</t>
  </si>
  <si>
    <t>Census Tract 93.61, Franklin County, Ohio</t>
  </si>
  <si>
    <t>Census Tract 93.62, Franklin County, Ohio</t>
  </si>
  <si>
    <t>Census Tract 93.71, Franklin County, Ohio</t>
  </si>
  <si>
    <t>Census Tract 93.72, Franklin County, Ohio</t>
  </si>
  <si>
    <t>Census Tract 93.73, Franklin County, Ohio</t>
  </si>
  <si>
    <t>Census Tract 93.74, Franklin County, Ohio</t>
  </si>
  <si>
    <t>Census Tract 93.81, Franklin County, Ohio</t>
  </si>
  <si>
    <t>Census Tract 93.82, Franklin County, Ohio</t>
  </si>
  <si>
    <t>Census Tract 93.83, Franklin County, Ohio</t>
  </si>
  <si>
    <t>Census Tract 93.84, Franklin County, Ohio</t>
  </si>
  <si>
    <t>Census Tract 93.85, Franklin County, Ohio</t>
  </si>
  <si>
    <t>Census Tract 93.86, Franklin County, Ohio</t>
  </si>
  <si>
    <t>Census Tract 93.90, Franklin County, Ohio</t>
  </si>
  <si>
    <t>Census Tract 94.10, Franklin County, Ohio</t>
  </si>
  <si>
    <t>Census Tract 94.20, Franklin County, Ohio</t>
  </si>
  <si>
    <t>Census Tract 94.30, Franklin County, Ohio</t>
  </si>
  <si>
    <t>Census Tract 94.40, Franklin County, Ohio</t>
  </si>
  <si>
    <t>Census Tract 94.50, Franklin County, Ohio</t>
  </si>
  <si>
    <t>Census Tract 94.95, Franklin County, Ohio</t>
  </si>
  <si>
    <t>Census Tract 94.97, Franklin County, Ohio</t>
  </si>
  <si>
    <t>Census Tract 95.20, Franklin County, Ohio</t>
  </si>
  <si>
    <t>Census Tract 95.90, Franklin County, Ohio</t>
  </si>
  <si>
    <t>Census Tract 96, Franklin County, Ohio</t>
  </si>
  <si>
    <t>Census Tract 97.11, Franklin County, Ohio</t>
  </si>
  <si>
    <t>Census Tract 97.12, Franklin County, Ohio</t>
  </si>
  <si>
    <t>Census Tract 97.20, Franklin County, Ohio</t>
  </si>
  <si>
    <t>Census Tract 97.40, Franklin County, Ohio</t>
  </si>
  <si>
    <t>Census Tract 97.51, Franklin County, Ohio</t>
  </si>
  <si>
    <t>Census Tract 97.52, Franklin County, Ohio</t>
  </si>
  <si>
    <t>Census Tract 98, Franklin County, Ohio</t>
  </si>
  <si>
    <t>Census Tract 99, Franklin County, Ohio</t>
  </si>
  <si>
    <t>Census Tract 100, Franklin County, Ohio</t>
  </si>
  <si>
    <t>Census Tract 101, Franklin County, Ohio</t>
  </si>
  <si>
    <t>Census Tract 102, Franklin County, Ohio</t>
  </si>
  <si>
    <t>Census Tract 103, Franklin County, Ohio</t>
  </si>
  <si>
    <t>Census Tract 104, Franklin County, Ohio</t>
  </si>
  <si>
    <t>Census Tract 105, Franklin County, Ohio</t>
  </si>
  <si>
    <t>Census Tract 106.01, Franklin County, Ohio</t>
  </si>
  <si>
    <t>Census Tract 106.02, Franklin County, Ohio</t>
  </si>
  <si>
    <t>Census Tract 107, Franklin County, Ohio</t>
  </si>
  <si>
    <t>Census Tract 9800, Franklin County, Ohio</t>
  </si>
  <si>
    <t>Census Tract 401, Fulton County, Ohio</t>
  </si>
  <si>
    <t>Census Tract 402, Fulton County, Ohio</t>
  </si>
  <si>
    <t>Census Tract 403, Fulton County, Ohio</t>
  </si>
  <si>
    <t>Census Tract 404, Fulton County, Ohio</t>
  </si>
  <si>
    <t>Census Tract 405, Fulton County, Ohio</t>
  </si>
  <si>
    <t>Census Tract 406, Fulton County, Ohio</t>
  </si>
  <si>
    <t>Census Tract 407, Fulton County, Ohio</t>
  </si>
  <si>
    <t>Census Tract 408, Fulton County, Ohio</t>
  </si>
  <si>
    <t>Census Tract 409, Fulton County, Ohio</t>
  </si>
  <si>
    <t>Census Tract 9535, Gallia County, Ohio</t>
  </si>
  <si>
    <t>Census Tract 9536, Gallia County, Ohio</t>
  </si>
  <si>
    <t>Census Tract 9537, Gallia County, Ohio</t>
  </si>
  <si>
    <t>Census Tract 9538, Gallia County, Ohio</t>
  </si>
  <si>
    <t>Census Tract 9539, Gallia County, Ohio</t>
  </si>
  <si>
    <t>Census Tract 9540, Gallia County, Ohio</t>
  </si>
  <si>
    <t>Census Tract 9541, Gallia County, Ohio</t>
  </si>
  <si>
    <t>Census Tract 3101, Geauga County, Ohio</t>
  </si>
  <si>
    <t>Census Tract 3102, Geauga County, Ohio</t>
  </si>
  <si>
    <t>Census Tract 3106, Geauga County, Ohio</t>
  </si>
  <si>
    <t>Census Tract 3107, Geauga County, Ohio</t>
  </si>
  <si>
    <t>Census Tract 3108, Geauga County, Ohio</t>
  </si>
  <si>
    <t>Census Tract 3109, Geauga County, Ohio</t>
  </si>
  <si>
    <t>Census Tract 3110, Geauga County, Ohio</t>
  </si>
  <si>
    <t>Census Tract 3113, Geauga County, Ohio</t>
  </si>
  <si>
    <t>Census Tract 3114, Geauga County, Ohio</t>
  </si>
  <si>
    <t>Census Tract 3115, Geauga County, Ohio</t>
  </si>
  <si>
    <t>Census Tract 3116, Geauga County, Ohio</t>
  </si>
  <si>
    <t>Census Tract 3117, Geauga County, Ohio</t>
  </si>
  <si>
    <t>Census Tract 3118, Geauga County, Ohio</t>
  </si>
  <si>
    <t>Census Tract 3119, Geauga County, Ohio</t>
  </si>
  <si>
    <t>Census Tract 3120, Geauga County, Ohio</t>
  </si>
  <si>
    <t>Census Tract 3121, Geauga County, Ohio</t>
  </si>
  <si>
    <t>Census Tract 3122.01, Geauga County, Ohio</t>
  </si>
  <si>
    <t>Census Tract 3122.02, Geauga County, Ohio</t>
  </si>
  <si>
    <t>Census Tract 3122.03, Geauga County, Ohio</t>
  </si>
  <si>
    <t>Census Tract 3123, Geauga County, Ohio</t>
  </si>
  <si>
    <t>Census Tract 3124, Geauga County, Ohio</t>
  </si>
  <si>
    <t>Census Tract 2001.01, Greene County, Ohio</t>
  </si>
  <si>
    <t>Census Tract 2001.03, Greene County, Ohio</t>
  </si>
  <si>
    <t>Census Tract 2001.04, Greene County, Ohio</t>
  </si>
  <si>
    <t>Census Tract 2003, Greene County, Ohio</t>
  </si>
  <si>
    <t>Census Tract 2004, Greene County, Ohio</t>
  </si>
  <si>
    <t>Census Tract 2005, Greene County, Ohio</t>
  </si>
  <si>
    <t>Census Tract 2006, Greene County, Ohio</t>
  </si>
  <si>
    <t>Census Tract 2007, Greene County, Ohio</t>
  </si>
  <si>
    <t>Census Tract 2009, Greene County, Ohio</t>
  </si>
  <si>
    <t>Census Tract 2101, Greene County, Ohio</t>
  </si>
  <si>
    <t>Census Tract 2102, Greene County, Ohio</t>
  </si>
  <si>
    <t>Census Tract 2103, Greene County, Ohio</t>
  </si>
  <si>
    <t>Census Tract 2104.01, Greene County, Ohio</t>
  </si>
  <si>
    <t>Census Tract 2104.02, Greene County, Ohio</t>
  </si>
  <si>
    <t>Census Tract 2105, Greene County, Ohio</t>
  </si>
  <si>
    <t>Census Tract 2106.01, Greene County, Ohio</t>
  </si>
  <si>
    <t>Census Tract 2106.02, Greene County, Ohio</t>
  </si>
  <si>
    <t>Census Tract 2106.03, Greene County, Ohio</t>
  </si>
  <si>
    <t>Census Tract 2201, Greene County, Ohio</t>
  </si>
  <si>
    <t>Census Tract 2202, Greene County, Ohio</t>
  </si>
  <si>
    <t>Census Tract 2301, Greene County, Ohio</t>
  </si>
  <si>
    <t>Census Tract 2401, Greene County, Ohio</t>
  </si>
  <si>
    <t>Census Tract 2402, Greene County, Ohio</t>
  </si>
  <si>
    <t>Census Tract 2403.01, Greene County, Ohio</t>
  </si>
  <si>
    <t>Census Tract 2403.02, Greene County, Ohio</t>
  </si>
  <si>
    <t>Census Tract 2405, Greene County, Ohio</t>
  </si>
  <si>
    <t>Census Tract 2406, Greene County, Ohio</t>
  </si>
  <si>
    <t>Census Tract 2407, Greene County, Ohio</t>
  </si>
  <si>
    <t>Census Tract 2550, Greene County, Ohio</t>
  </si>
  <si>
    <t>Census Tract 2601, Greene County, Ohio</t>
  </si>
  <si>
    <t>Census Tract 2701, Greene County, Ohio</t>
  </si>
  <si>
    <t>Census Tract 2801.01, Greene County, Ohio</t>
  </si>
  <si>
    <t>Census Tract 2801.02, Greene County, Ohio</t>
  </si>
  <si>
    <t>Census Tract 2802, Greene County, Ohio</t>
  </si>
  <si>
    <t>Census Tract 2803, Greene County, Ohio</t>
  </si>
  <si>
    <t>Census Tract 9771, Guernsey County, Ohio</t>
  </si>
  <si>
    <t>Census Tract 9772, Guernsey County, Ohio</t>
  </si>
  <si>
    <t>Census Tract 9773, Guernsey County, Ohio</t>
  </si>
  <si>
    <t>Census Tract 9774, Guernsey County, Ohio</t>
  </si>
  <si>
    <t>Census Tract 9775, Guernsey County, Ohio</t>
  </si>
  <si>
    <t>Census Tract 9776, Guernsey County, Ohio</t>
  </si>
  <si>
    <t>Census Tract 9777, Guernsey County, Ohio</t>
  </si>
  <si>
    <t>Census Tract 9778, Guernsey County, Ohio</t>
  </si>
  <si>
    <t>Census Tract 9779, Guernsey County, Ohio</t>
  </si>
  <si>
    <t>Census Tract 9780, Guernsey County, Ohio</t>
  </si>
  <si>
    <t>Census Tract 2, Hamilton County, Ohio</t>
  </si>
  <si>
    <t>Census Tract 7, Hamilton County, Ohio</t>
  </si>
  <si>
    <t>Census Tract 9, Hamilton County, Ohio</t>
  </si>
  <si>
    <t>Census Tract 10, Hamilton County, Ohio</t>
  </si>
  <si>
    <t>Census Tract 11, Hamilton County, Ohio</t>
  </si>
  <si>
    <t>Census Tract 16, Hamilton County, Ohio</t>
  </si>
  <si>
    <t>Census Tract 17, Hamilton County, Ohio</t>
  </si>
  <si>
    <t>Census Tract 18, Hamilton County, Ohio</t>
  </si>
  <si>
    <t>Census Tract 19, Hamilton County, Ohio</t>
  </si>
  <si>
    <t>Census Tract 20, Hamilton County, Ohio</t>
  </si>
  <si>
    <t>Census Tract 22, Hamilton County, Ohio</t>
  </si>
  <si>
    <t>Census Tract 23, Hamilton County, Ohio</t>
  </si>
  <si>
    <t>Census Tract 25, Hamilton County, Ohio</t>
  </si>
  <si>
    <t>Census Tract 26, Hamilton County, Ohio</t>
  </si>
  <si>
    <t>Census Tract 27, Hamilton County, Ohio</t>
  </si>
  <si>
    <t>Census Tract 28, Hamilton County, Ohio</t>
  </si>
  <si>
    <t>Census Tract 29, Hamilton County, Ohio</t>
  </si>
  <si>
    <t>Census Tract 30, Hamilton County, Ohio</t>
  </si>
  <si>
    <t>Census Tract 32, Hamilton County, Ohio</t>
  </si>
  <si>
    <t>Census Tract 33, Hamilton County, Ohio</t>
  </si>
  <si>
    <t>Census Tract 36, Hamilton County, Ohio</t>
  </si>
  <si>
    <t>Census Tract 37, Hamilton County, Ohio</t>
  </si>
  <si>
    <t>Census Tract 38, Hamilton County, Ohio</t>
  </si>
  <si>
    <t>Census Tract 39, Hamilton County, Ohio</t>
  </si>
  <si>
    <t>Census Tract 40, Hamilton County, Ohio</t>
  </si>
  <si>
    <t>Census Tract 41, Hamilton County, Ohio</t>
  </si>
  <si>
    <t>Census Tract 42, Hamilton County, Ohio</t>
  </si>
  <si>
    <t>Census Tract 45, Hamilton County, Ohio</t>
  </si>
  <si>
    <t>Census Tract 46.02, Hamilton County, Ohio</t>
  </si>
  <si>
    <t>Census Tract 46.03, Hamilton County, Ohio</t>
  </si>
  <si>
    <t>Census Tract 46.04, Hamilton County, Ohio</t>
  </si>
  <si>
    <t>Census Tract 46.05, Hamilton County, Ohio</t>
  </si>
  <si>
    <t>Census Tract 47.01, Hamilton County, Ohio</t>
  </si>
  <si>
    <t>Census Tract 47.02, Hamilton County, Ohio</t>
  </si>
  <si>
    <t>Census Tract 48, Hamilton County, Ohio</t>
  </si>
  <si>
    <t>Census Tract 49, Hamilton County, Ohio</t>
  </si>
  <si>
    <t>Census Tract 50, Hamilton County, Ohio</t>
  </si>
  <si>
    <t>Census Tract 51, Hamilton County, Ohio</t>
  </si>
  <si>
    <t>Census Tract 52, Hamilton County, Ohio</t>
  </si>
  <si>
    <t>Census Tract 53.01, Hamilton County, Ohio</t>
  </si>
  <si>
    <t>Census Tract 53.02, Hamilton County, Ohio</t>
  </si>
  <si>
    <t>Census Tract 54, Hamilton County, Ohio</t>
  </si>
  <si>
    <t>Census Tract 55, Hamilton County, Ohio</t>
  </si>
  <si>
    <t>Census Tract 56, Hamilton County, Ohio</t>
  </si>
  <si>
    <t>Census Tract 57.01, Hamilton County, Ohio</t>
  </si>
  <si>
    <t>Census Tract 57.02, Hamilton County, Ohio</t>
  </si>
  <si>
    <t>Census Tract 58, Hamilton County, Ohio</t>
  </si>
  <si>
    <t>Census Tract 59, Hamilton County, Ohio</t>
  </si>
  <si>
    <t>Census Tract 60, Hamilton County, Ohio</t>
  </si>
  <si>
    <t>Census Tract 61, Hamilton County, Ohio</t>
  </si>
  <si>
    <t>Census Tract 63, Hamilton County, Ohio</t>
  </si>
  <si>
    <t>Census Tract 64, Hamilton County, Ohio</t>
  </si>
  <si>
    <t>Census Tract 65, Hamilton County, Ohio</t>
  </si>
  <si>
    <t>Census Tract 66, Hamilton County, Ohio</t>
  </si>
  <si>
    <t>Census Tract 68, Hamilton County, Ohio</t>
  </si>
  <si>
    <t>Census Tract 69, Hamilton County, Ohio</t>
  </si>
  <si>
    <t>Census Tract 70, Hamilton County, Ohio</t>
  </si>
  <si>
    <t>Census Tract 71, Hamilton County, Ohio</t>
  </si>
  <si>
    <t>Census Tract 72, Hamilton County, Ohio</t>
  </si>
  <si>
    <t>Census Tract 73, Hamilton County, Ohio</t>
  </si>
  <si>
    <t>Census Tract 74, Hamilton County, Ohio</t>
  </si>
  <si>
    <t>Census Tract 75, Hamilton County, Ohio</t>
  </si>
  <si>
    <t>Census Tract 77, Hamilton County, Ohio</t>
  </si>
  <si>
    <t>Census Tract 78, Hamilton County, Ohio</t>
  </si>
  <si>
    <t>Census Tract 79, Hamilton County, Ohio</t>
  </si>
  <si>
    <t>Census Tract 80, Hamilton County, Ohio</t>
  </si>
  <si>
    <t>Census Tract 81, Hamilton County, Ohio</t>
  </si>
  <si>
    <t>Census Tract 82.01, Hamilton County, Ohio</t>
  </si>
  <si>
    <t>Census Tract 82.02, Hamilton County, Ohio</t>
  </si>
  <si>
    <t>Census Tract 83, Hamilton County, Ohio</t>
  </si>
  <si>
    <t>Census Tract 84, Hamilton County, Ohio</t>
  </si>
  <si>
    <t>Census Tract 85.01, Hamilton County, Ohio</t>
  </si>
  <si>
    <t>Census Tract 85.02, Hamilton County, Ohio</t>
  </si>
  <si>
    <t>Census Tract 86.01, Hamilton County, Ohio</t>
  </si>
  <si>
    <t>Census Tract 88, Hamilton County, Ohio</t>
  </si>
  <si>
    <t>Census Tract 92, Hamilton County, Ohio</t>
  </si>
  <si>
    <t>Census Tract 93, Hamilton County, Ohio</t>
  </si>
  <si>
    <t>Census Tract 94, Hamilton County, Ohio</t>
  </si>
  <si>
    <t>Census Tract 95, Hamilton County, Ohio</t>
  </si>
  <si>
    <t>Census Tract 96, Hamilton County, Ohio</t>
  </si>
  <si>
    <t>Census Tract 97, Hamilton County, Ohio</t>
  </si>
  <si>
    <t>Census Tract 98, Hamilton County, Ohio</t>
  </si>
  <si>
    <t>Census Tract 99.01, Hamilton County, Ohio</t>
  </si>
  <si>
    <t>Census Tract 99.02, Hamilton County, Ohio</t>
  </si>
  <si>
    <t>Census Tract 100.02, Hamilton County, Ohio</t>
  </si>
  <si>
    <t>Census Tract 100.03, Hamilton County, Ohio</t>
  </si>
  <si>
    <t>Census Tract 100.04, Hamilton County, Ohio</t>
  </si>
  <si>
    <t>Census Tract 100.05, Hamilton County, Ohio</t>
  </si>
  <si>
    <t>Census Tract 101, Hamilton County, Ohio</t>
  </si>
  <si>
    <t>Census Tract 102.01, Hamilton County, Ohio</t>
  </si>
  <si>
    <t>Census Tract 102.02, Hamilton County, Ohio</t>
  </si>
  <si>
    <t>Census Tract 103, Hamilton County, Ohio</t>
  </si>
  <si>
    <t>Census Tract 104, Hamilton County, Ohio</t>
  </si>
  <si>
    <t>Census Tract 105, Hamilton County, Ohio</t>
  </si>
  <si>
    <t>Census Tract 106, Hamilton County, Ohio</t>
  </si>
  <si>
    <t>Census Tract 107, Hamilton County, Ohio</t>
  </si>
  <si>
    <t>Census Tract 108, Hamilton County, Ohio</t>
  </si>
  <si>
    <t>Census Tract 109, Hamilton County, Ohio</t>
  </si>
  <si>
    <t>Census Tract 110, Hamilton County, Ohio</t>
  </si>
  <si>
    <t>Census Tract 111, Hamilton County, Ohio</t>
  </si>
  <si>
    <t>Census Tract 204.01, Hamilton County, Ohio</t>
  </si>
  <si>
    <t>Census Tract 204.03, Hamilton County, Ohio</t>
  </si>
  <si>
    <t>Census Tract 204.04, Hamilton County, Ohio</t>
  </si>
  <si>
    <t>Census Tract 205.01, Hamilton County, Ohio</t>
  </si>
  <si>
    <t>Census Tract 205.02, Hamilton County, Ohio</t>
  </si>
  <si>
    <t>Census Tract 205.04, Hamilton County, Ohio</t>
  </si>
  <si>
    <t>Census Tract 205.05, Hamilton County, Ohio</t>
  </si>
  <si>
    <t>Census Tract 206.01, Hamilton County, Ohio</t>
  </si>
  <si>
    <t>Census Tract 206.02, Hamilton County, Ohio</t>
  </si>
  <si>
    <t>Census Tract 207.01, Hamilton County, Ohio</t>
  </si>
  <si>
    <t>Census Tract 207.05, Hamilton County, Ohio</t>
  </si>
  <si>
    <t>Census Tract 207.07, Hamilton County, Ohio</t>
  </si>
  <si>
    <t>Census Tract 207.41, Hamilton County, Ohio</t>
  </si>
  <si>
    <t>Census Tract 207.42, Hamilton County, Ohio</t>
  </si>
  <si>
    <t>Census Tract 207.61, Hamilton County, Ohio</t>
  </si>
  <si>
    <t>Census Tract 207.62, Hamilton County, Ohio</t>
  </si>
  <si>
    <t>Census Tract 208.02, Hamilton County, Ohio</t>
  </si>
  <si>
    <t>Census Tract 208.11, Hamilton County, Ohio</t>
  </si>
  <si>
    <t>Census Tract 208.12, Hamilton County, Ohio</t>
  </si>
  <si>
    <t>Census Tract 209.01, Hamilton County, Ohio</t>
  </si>
  <si>
    <t>Census Tract 209.02, Hamilton County, Ohio</t>
  </si>
  <si>
    <t>Census Tract 210.01, Hamilton County, Ohio</t>
  </si>
  <si>
    <t>Census Tract 210.02, Hamilton County, Ohio</t>
  </si>
  <si>
    <t>Census Tract 210.03, Hamilton County, Ohio</t>
  </si>
  <si>
    <t>Census Tract 211.01, Hamilton County, Ohio</t>
  </si>
  <si>
    <t>Census Tract 211.02, Hamilton County, Ohio</t>
  </si>
  <si>
    <t>Census Tract 212.01, Hamilton County, Ohio</t>
  </si>
  <si>
    <t>Census Tract 212.02, Hamilton County, Ohio</t>
  </si>
  <si>
    <t>Census Tract 213.02, Hamilton County, Ohio</t>
  </si>
  <si>
    <t>Census Tract 213.03, Hamilton County, Ohio</t>
  </si>
  <si>
    <t>Census Tract 213.04, Hamilton County, Ohio</t>
  </si>
  <si>
    <t>Census Tract 214.01, Hamilton County, Ohio</t>
  </si>
  <si>
    <t>Census Tract 214.21, Hamilton County, Ohio</t>
  </si>
  <si>
    <t>Census Tract 214.22, Hamilton County, Ohio</t>
  </si>
  <si>
    <t>Census Tract 215.01, Hamilton County, Ohio</t>
  </si>
  <si>
    <t>Census Tract 215.04, Hamilton County, Ohio</t>
  </si>
  <si>
    <t>Census Tract 215.05, Hamilton County, Ohio</t>
  </si>
  <si>
    <t>Census Tract 215.06, Hamilton County, Ohio</t>
  </si>
  <si>
    <t>Census Tract 215.08, Hamilton County, Ohio</t>
  </si>
  <si>
    <t>Census Tract 215.09, Hamilton County, Ohio</t>
  </si>
  <si>
    <t>Census Tract 215.71, Hamilton County, Ohio</t>
  </si>
  <si>
    <t>Census Tract 215.72, Hamilton County, Ohio</t>
  </si>
  <si>
    <t>Census Tract 216.02, Hamilton County, Ohio</t>
  </si>
  <si>
    <t>Census Tract 216.03, Hamilton County, Ohio</t>
  </si>
  <si>
    <t>Census Tract 216.04, Hamilton County, Ohio</t>
  </si>
  <si>
    <t>Census Tract 217.01, Hamilton County, Ohio</t>
  </si>
  <si>
    <t>Census Tract 217.02, Hamilton County, Ohio</t>
  </si>
  <si>
    <t>Census Tract 218.01, Hamilton County, Ohio</t>
  </si>
  <si>
    <t>Census Tract 218.02, Hamilton County, Ohio</t>
  </si>
  <si>
    <t>Census Tract 219, Hamilton County, Ohio</t>
  </si>
  <si>
    <t>Census Tract 220, Hamilton County, Ohio</t>
  </si>
  <si>
    <t>Census Tract 221.01, Hamilton County, Ohio</t>
  </si>
  <si>
    <t>Census Tract 221.02, Hamilton County, Ohio</t>
  </si>
  <si>
    <t>Census Tract 222, Hamilton County, Ohio</t>
  </si>
  <si>
    <t>Census Tract 223.01, Hamilton County, Ohio</t>
  </si>
  <si>
    <t>Census Tract 223.02, Hamilton County, Ohio</t>
  </si>
  <si>
    <t>Census Tract 224, Hamilton County, Ohio</t>
  </si>
  <si>
    <t>Census Tract 225, Hamilton County, Ohio</t>
  </si>
  <si>
    <t>Census Tract 226.01, Hamilton County, Ohio</t>
  </si>
  <si>
    <t>Census Tract 226.02, Hamilton County, Ohio</t>
  </si>
  <si>
    <t>Census Tract 227, Hamilton County, Ohio</t>
  </si>
  <si>
    <t>Census Tract 230.01, Hamilton County, Ohio</t>
  </si>
  <si>
    <t>Census Tract 230.02, Hamilton County, Ohio</t>
  </si>
  <si>
    <t>Census Tract 231, Hamilton County, Ohio</t>
  </si>
  <si>
    <t>Census Tract 232.01, Hamilton County, Ohio</t>
  </si>
  <si>
    <t>Census Tract 232.10, Hamilton County, Ohio</t>
  </si>
  <si>
    <t>Census Tract 232.22, Hamilton County, Ohio</t>
  </si>
  <si>
    <t>Census Tract 233, Hamilton County, Ohio</t>
  </si>
  <si>
    <t>Census Tract 234, Hamilton County, Ohio</t>
  </si>
  <si>
    <t>Census Tract 235.01, Hamilton County, Ohio</t>
  </si>
  <si>
    <t>Census Tract 235.21, Hamilton County, Ohio</t>
  </si>
  <si>
    <t>Census Tract 235.22, Hamilton County, Ohio</t>
  </si>
  <si>
    <t>Census Tract 236, Hamilton County, Ohio</t>
  </si>
  <si>
    <t>Census Tract 237.01, Hamilton County, Ohio</t>
  </si>
  <si>
    <t>Census Tract 237.02, Hamilton County, Ohio</t>
  </si>
  <si>
    <t>Census Tract 238, Hamilton County, Ohio</t>
  </si>
  <si>
    <t>Census Tract 239.01, Hamilton County, Ohio</t>
  </si>
  <si>
    <t>Census Tract 239.02, Hamilton County, Ohio</t>
  </si>
  <si>
    <t>Census Tract 240.01, Hamilton County, Ohio</t>
  </si>
  <si>
    <t>Census Tract 240.02, Hamilton County, Ohio</t>
  </si>
  <si>
    <t>Census Tract 241, Hamilton County, Ohio</t>
  </si>
  <si>
    <t>Census Tract 242, Hamilton County, Ohio</t>
  </si>
  <si>
    <t>Census Tract 243.01, Hamilton County, Ohio</t>
  </si>
  <si>
    <t>Census Tract 243.03, Hamilton County, Ohio</t>
  </si>
  <si>
    <t>Census Tract 243.21, Hamilton County, Ohio</t>
  </si>
  <si>
    <t>Census Tract 243.22, Hamilton County, Ohio</t>
  </si>
  <si>
    <t>Census Tract 244, Hamilton County, Ohio</t>
  </si>
  <si>
    <t>Census Tract 247, Hamilton County, Ohio</t>
  </si>
  <si>
    <t>Census Tract 248, Hamilton County, Ohio</t>
  </si>
  <si>
    <t>Census Tract 249.01, Hamilton County, Ohio</t>
  </si>
  <si>
    <t>Census Tract 249.02, Hamilton County, Ohio</t>
  </si>
  <si>
    <t>Census Tract 250.01, Hamilton County, Ohio</t>
  </si>
  <si>
    <t>Census Tract 250.02, Hamilton County, Ohio</t>
  </si>
  <si>
    <t>Census Tract 251.01, Hamilton County, Ohio</t>
  </si>
  <si>
    <t>Census Tract 251.02, Hamilton County, Ohio</t>
  </si>
  <si>
    <t>Census Tract 251.03, Hamilton County, Ohio</t>
  </si>
  <si>
    <t>Census Tract 251.04, Hamilton County, Ohio</t>
  </si>
  <si>
    <t>Census Tract 252, Hamilton County, Ohio</t>
  </si>
  <si>
    <t>Census Tract 253, Hamilton County, Ohio</t>
  </si>
  <si>
    <t>Census Tract 254.01, Hamilton County, Ohio</t>
  </si>
  <si>
    <t>Census Tract 254.02, Hamilton County, Ohio</t>
  </si>
  <si>
    <t>Census Tract 255, Hamilton County, Ohio</t>
  </si>
  <si>
    <t>Census Tract 256, Hamilton County, Ohio</t>
  </si>
  <si>
    <t>Census Tract 257, Hamilton County, Ohio</t>
  </si>
  <si>
    <t>Census Tract 258, Hamilton County, Ohio</t>
  </si>
  <si>
    <t>Census Tract 260.01, Hamilton County, Ohio</t>
  </si>
  <si>
    <t>Census Tract 260.02, Hamilton County, Ohio</t>
  </si>
  <si>
    <t>Census Tract 261.01, Hamilton County, Ohio</t>
  </si>
  <si>
    <t>Census Tract 261.02, Hamilton County, Ohio</t>
  </si>
  <si>
    <t>Census Tract 262, Hamilton County, Ohio</t>
  </si>
  <si>
    <t>Census Tract 263, Hamilton County, Ohio</t>
  </si>
  <si>
    <t>Census Tract 264, Hamilton County, Ohio</t>
  </si>
  <si>
    <t>Census Tract 265, Hamilton County, Ohio</t>
  </si>
  <si>
    <t>Census Tract 266, Hamilton County, Ohio</t>
  </si>
  <si>
    <t>Census Tract 267, Hamilton County, Ohio</t>
  </si>
  <si>
    <t>Census Tract 268, Hamilton County, Ohio</t>
  </si>
  <si>
    <t>Census Tract 269, Hamilton County, Ohio</t>
  </si>
  <si>
    <t>Census Tract 270, Hamilton County, Ohio</t>
  </si>
  <si>
    <t>Census Tract 271, Hamilton County, Ohio</t>
  </si>
  <si>
    <t>Census Tract 272, Hamilton County, Ohio</t>
  </si>
  <si>
    <t>Census Tract 273, Hamilton County, Ohio</t>
  </si>
  <si>
    <t>Census Tract 274, Hamilton County, Ohio</t>
  </si>
  <si>
    <t>Census Tract 1, Hancock County, Ohio</t>
  </si>
  <si>
    <t>Census Tract 2, Hancock County, Ohio</t>
  </si>
  <si>
    <t>Census Tract 3, Hancock County, Ohio</t>
  </si>
  <si>
    <t>Census Tract 4, Hancock County, Ohio</t>
  </si>
  <si>
    <t>Census Tract 5, Hancock County, Ohio</t>
  </si>
  <si>
    <t>Census Tract 6, Hancock County, Ohio</t>
  </si>
  <si>
    <t>Census Tract 7, Hancock County, Ohio</t>
  </si>
  <si>
    <t>Census Tract 8, Hancock County, Ohio</t>
  </si>
  <si>
    <t>Census Tract 9, Hancock County, Ohio</t>
  </si>
  <si>
    <t>Census Tract 10, Hancock County, Ohio</t>
  </si>
  <si>
    <t>Census Tract 11, Hancock County, Ohio</t>
  </si>
  <si>
    <t>Census Tract 12, Hancock County, Ohio</t>
  </si>
  <si>
    <t>Census Tract 13, Hancock County, Ohio</t>
  </si>
  <si>
    <t>Census Tract 1, Hardin County, Ohio</t>
  </si>
  <si>
    <t>Census Tract 2, Hardin County, Ohio</t>
  </si>
  <si>
    <t>Census Tract 3, Hardin County, Ohio</t>
  </si>
  <si>
    <t>Census Tract 4, Hardin County, Ohio</t>
  </si>
  <si>
    <t>Census Tract 5, Hardin County, Ohio</t>
  </si>
  <si>
    <t>Census Tract 6, Hardin County, Ohio</t>
  </si>
  <si>
    <t>Census Tract 7, Hardin County, Ohio</t>
  </si>
  <si>
    <t>Census Tract 9756, Harrison County, Ohio</t>
  </si>
  <si>
    <t>Census Tract 9757, Harrison County, Ohio</t>
  </si>
  <si>
    <t>Census Tract 9758, Harrison County, Ohio</t>
  </si>
  <si>
    <t>Census Tract 9759, Harrison County, Ohio</t>
  </si>
  <si>
    <t>Census Tract 9760, Harrison County, Ohio</t>
  </si>
  <si>
    <t>Census Tract 1, Henry County, Ohio</t>
  </si>
  <si>
    <t>Census Tract 2, Henry County, Ohio</t>
  </si>
  <si>
    <t>Census Tract 3, Henry County, Ohio</t>
  </si>
  <si>
    <t>Census Tract 4, Henry County, Ohio</t>
  </si>
  <si>
    <t>Census Tract 5, Henry County, Ohio</t>
  </si>
  <si>
    <t>Census Tract 6, Henry County, Ohio</t>
  </si>
  <si>
    <t>Census Tract 7, Henry County, Ohio</t>
  </si>
  <si>
    <t>Census Tract 9544, Highland County, Ohio</t>
  </si>
  <si>
    <t>Census Tract 9545, Highland County, Ohio</t>
  </si>
  <si>
    <t>Census Tract 9546, Highland County, Ohio</t>
  </si>
  <si>
    <t>Census Tract 9547, Highland County, Ohio</t>
  </si>
  <si>
    <t>Census Tract 9548, Highland County, Ohio</t>
  </si>
  <si>
    <t>Census Tract 9549, Highland County, Ohio</t>
  </si>
  <si>
    <t>Census Tract 9550, Highland County, Ohio</t>
  </si>
  <si>
    <t>Census Tract 9551, Highland County, Ohio</t>
  </si>
  <si>
    <t>Census Tract 9552, Highland County, Ohio</t>
  </si>
  <si>
    <t>Census Tract 9649, Hocking County, Ohio</t>
  </si>
  <si>
    <t>Census Tract 9650, Hocking County, Ohio</t>
  </si>
  <si>
    <t>Census Tract 9651, Hocking County, Ohio</t>
  </si>
  <si>
    <t>Census Tract 9652, Hocking County, Ohio</t>
  </si>
  <si>
    <t>Census Tract 9653, Hocking County, Ohio</t>
  </si>
  <si>
    <t>Census Tract 9654, Hocking County, Ohio</t>
  </si>
  <si>
    <t>Census Tract 9655, Hocking County, Ohio</t>
  </si>
  <si>
    <t>Census Tract 9763.01, Holmes County, Ohio</t>
  </si>
  <si>
    <t>Census Tract 9763.02, Holmes County, Ohio</t>
  </si>
  <si>
    <t>Census Tract 9764, Holmes County, Ohio</t>
  </si>
  <si>
    <t>Census Tract 9765, Holmes County, Ohio</t>
  </si>
  <si>
    <t>Census Tract 9766, Holmes County, Ohio</t>
  </si>
  <si>
    <t>Census Tract 9767, Holmes County, Ohio</t>
  </si>
  <si>
    <t>Census Tract 9768.01, Holmes County, Ohio</t>
  </si>
  <si>
    <t>Census Tract 9768.02, Holmes County, Ohio</t>
  </si>
  <si>
    <t>Census Tract 9154, Huron County, Ohio</t>
  </si>
  <si>
    <t>Census Tract 9155, Huron County, Ohio</t>
  </si>
  <si>
    <t>Census Tract 9156, Huron County, Ohio</t>
  </si>
  <si>
    <t>Census Tract 9157, Huron County, Ohio</t>
  </si>
  <si>
    <t>Census Tract 9158, Huron County, Ohio</t>
  </si>
  <si>
    <t>Census Tract 9159, Huron County, Ohio</t>
  </si>
  <si>
    <t>Census Tract 9160, Huron County, Ohio</t>
  </si>
  <si>
    <t>Census Tract 9161, Huron County, Ohio</t>
  </si>
  <si>
    <t>Census Tract 9162, Huron County, Ohio</t>
  </si>
  <si>
    <t>Census Tract 9163, Huron County, Ohio</t>
  </si>
  <si>
    <t>Census Tract 9164, Huron County, Ohio</t>
  </si>
  <si>
    <t>Census Tract 9165, Huron County, Ohio</t>
  </si>
  <si>
    <t>Census Tract 9166, Huron County, Ohio</t>
  </si>
  <si>
    <t>Census Tract 9572, Jackson County, Ohio</t>
  </si>
  <si>
    <t>Census Tract 9573, Jackson County, Ohio</t>
  </si>
  <si>
    <t>Census Tract 9574, Jackson County, Ohio</t>
  </si>
  <si>
    <t>Census Tract 9575, Jackson County, Ohio</t>
  </si>
  <si>
    <t>Census Tract 9576, Jackson County, Ohio</t>
  </si>
  <si>
    <t>Census Tract 9577, Jackson County, Ohio</t>
  </si>
  <si>
    <t>Census Tract 9578, Jackson County, Ohio</t>
  </si>
  <si>
    <t>Census Tract 2, Jefferson County, Ohio</t>
  </si>
  <si>
    <t>Census Tract 4, Jefferson County, Ohio</t>
  </si>
  <si>
    <t>Census Tract 6, Jefferson County, Ohio</t>
  </si>
  <si>
    <t>Census Tract 8, Jefferson County, Ohio</t>
  </si>
  <si>
    <t>Census Tract 10, Jefferson County, Ohio</t>
  </si>
  <si>
    <t>Census Tract 12, Jefferson County, Ohio</t>
  </si>
  <si>
    <t>Census Tract 13, Jefferson County, Ohio</t>
  </si>
  <si>
    <t>Census Tract 14, Jefferson County, Ohio</t>
  </si>
  <si>
    <t>Census Tract 17, Jefferson County, Ohio</t>
  </si>
  <si>
    <t>Census Tract 110, Jefferson County, Ohio</t>
  </si>
  <si>
    <t>Census Tract 111, Jefferson County, Ohio</t>
  </si>
  <si>
    <t>Census Tract 112, Jefferson County, Ohio</t>
  </si>
  <si>
    <t>Census Tract 113, Jefferson County, Ohio</t>
  </si>
  <si>
    <t>Census Tract 114.01, Jefferson County, Ohio</t>
  </si>
  <si>
    <t>Census Tract 114.02, Jefferson County, Ohio</t>
  </si>
  <si>
    <t>Census Tract 115, Jefferson County, Ohio</t>
  </si>
  <si>
    <t>Census Tract 117, Jefferson County, Ohio</t>
  </si>
  <si>
    <t>Census Tract 118, Jefferson County, Ohio</t>
  </si>
  <si>
    <t>Census Tract 119, Jefferson County, Ohio</t>
  </si>
  <si>
    <t>Census Tract 120, Jefferson County, Ohio</t>
  </si>
  <si>
    <t>Census Tract 121, Jefferson County, Ohio</t>
  </si>
  <si>
    <t>Census Tract 122, Jefferson County, Ohio</t>
  </si>
  <si>
    <t>Census Tract 123, Jefferson County, Ohio</t>
  </si>
  <si>
    <t>Census Tract 67, KNox County, Ohio</t>
  </si>
  <si>
    <t>Census Tract 68.01, KNox County, Ohio</t>
  </si>
  <si>
    <t>Census Tract 68.02, KNox County, Ohio</t>
  </si>
  <si>
    <t>Census Tract 69, KNox County, Ohio</t>
  </si>
  <si>
    <t>Census Tract 70, KNox County, Ohio</t>
  </si>
  <si>
    <t>Census Tract 71, KNox County, Ohio</t>
  </si>
  <si>
    <t>Census Tract 72, KNox County, Ohio</t>
  </si>
  <si>
    <t>Census Tract 73, KNox County, Ohio</t>
  </si>
  <si>
    <t>Census Tract 74, KNox County, Ohio</t>
  </si>
  <si>
    <t>Census Tract 75, KNox County, Ohio</t>
  </si>
  <si>
    <t>Census Tract 76, KNox County, Ohio</t>
  </si>
  <si>
    <t>Census Tract 77, KNox County, Ohio</t>
  </si>
  <si>
    <t>Census Tract 2001, Lake County, Ohio</t>
  </si>
  <si>
    <t>Census Tract 2002, Lake County, Ohio</t>
  </si>
  <si>
    <t>Census Tract 2003, Lake County, Ohio</t>
  </si>
  <si>
    <t>Census Tract 2004, Lake County, Ohio</t>
  </si>
  <si>
    <t>Census Tract 2005, Lake County, Ohio</t>
  </si>
  <si>
    <t>Census Tract 2006, Lake County, Ohio</t>
  </si>
  <si>
    <t>Census Tract 2007, Lake County, Ohio</t>
  </si>
  <si>
    <t>Census Tract 2008, Lake County, Ohio</t>
  </si>
  <si>
    <t>Census Tract 2009, Lake County, Ohio</t>
  </si>
  <si>
    <t>Census Tract 2010, Lake County, Ohio</t>
  </si>
  <si>
    <t>Census Tract 2011, Lake County, Ohio</t>
  </si>
  <si>
    <t>Census Tract 2012, Lake County, Ohio</t>
  </si>
  <si>
    <t>Census Tract 2013, Lake County, Ohio</t>
  </si>
  <si>
    <t>Census Tract 2014, Lake County, Ohio</t>
  </si>
  <si>
    <t>Census Tract 2015, Lake County, Ohio</t>
  </si>
  <si>
    <t>Census Tract 2016, Lake County, Ohio</t>
  </si>
  <si>
    <t>Census Tract 2017, Lake County, Ohio</t>
  </si>
  <si>
    <t>Census Tract 2018, Lake County, Ohio</t>
  </si>
  <si>
    <t>Census Tract 2019, Lake County, Ohio</t>
  </si>
  <si>
    <t>Census Tract 2020, Lake County, Ohio</t>
  </si>
  <si>
    <t>Census Tract 2021, Lake County, Ohio</t>
  </si>
  <si>
    <t>Census Tract 2024, Lake County, Ohio</t>
  </si>
  <si>
    <t>Census Tract 2025, Lake County, Ohio</t>
  </si>
  <si>
    <t>Census Tract 2026, Lake County, Ohio</t>
  </si>
  <si>
    <t>Census Tract 2027, Lake County, Ohio</t>
  </si>
  <si>
    <t>Census Tract 2028, Lake County, Ohio</t>
  </si>
  <si>
    <t>Census Tract 2029, Lake County, Ohio</t>
  </si>
  <si>
    <t>Census Tract 2030, Lake County, Ohio</t>
  </si>
  <si>
    <t>Census Tract 2032, Lake County, Ohio</t>
  </si>
  <si>
    <t>Census Tract 2034, Lake County, Ohio</t>
  </si>
  <si>
    <t>Census Tract 2035, Lake County, Ohio</t>
  </si>
  <si>
    <t>Census Tract 2037, Lake County, Ohio</t>
  </si>
  <si>
    <t>Census Tract 2040, Lake County, Ohio</t>
  </si>
  <si>
    <t>Census Tract 2042, Lake County, Ohio</t>
  </si>
  <si>
    <t>Census Tract 2043.01, Lake County, Ohio</t>
  </si>
  <si>
    <t>Census Tract 2043.02, Lake County, Ohio</t>
  </si>
  <si>
    <t>Census Tract 2044, Lake County, Ohio</t>
  </si>
  <si>
    <t>Census Tract 2045, Lake County, Ohio</t>
  </si>
  <si>
    <t>Census Tract 2047, Lake County, Ohio</t>
  </si>
  <si>
    <t>Census Tract 2048, Lake County, Ohio</t>
  </si>
  <si>
    <t>Census Tract 2049, Lake County, Ohio</t>
  </si>
  <si>
    <t>Census Tract 2050.01, Lake County, Ohio</t>
  </si>
  <si>
    <t>Census Tract 2050.02, Lake County, Ohio</t>
  </si>
  <si>
    <t>Census Tract 2051, Lake County, Ohio</t>
  </si>
  <si>
    <t>Census Tract 2052, Lake County, Ohio</t>
  </si>
  <si>
    <t>Census Tract 2053, Lake County, Ohio</t>
  </si>
  <si>
    <t>Census Tract 2054, Lake County, Ohio</t>
  </si>
  <si>
    <t>Census Tract 2057.01, Lake County, Ohio</t>
  </si>
  <si>
    <t>Census Tract 2057.02, Lake County, Ohio</t>
  </si>
  <si>
    <t>Census Tract 2058, Lake County, Ohio</t>
  </si>
  <si>
    <t>Census Tract 2059, Lake County, Ohio</t>
  </si>
  <si>
    <t>Census Tract 2060, Lake County, Ohio</t>
  </si>
  <si>
    <t>Census Tract 2061, Lake County, Ohio</t>
  </si>
  <si>
    <t>Census Tract 2062, Lake County, Ohio</t>
  </si>
  <si>
    <t>Census Tract 2063, Lake County, Ohio</t>
  </si>
  <si>
    <t>Census Tract 2064, Lake County, Ohio</t>
  </si>
  <si>
    <t>Census Tract 2065, Lake County, Ohio</t>
  </si>
  <si>
    <t>Census Tract 2066, Lake County, Ohio</t>
  </si>
  <si>
    <t>Census Tract 501, Lawrence County, Ohio</t>
  </si>
  <si>
    <t>Census Tract 502, Lawrence County, Ohio</t>
  </si>
  <si>
    <t>Census Tract 503, Lawrence County, Ohio</t>
  </si>
  <si>
    <t>Census Tract 504, Lawrence County, Ohio</t>
  </si>
  <si>
    <t>Census Tract 505, Lawrence County, Ohio</t>
  </si>
  <si>
    <t>Census Tract 506, Lawrence County, Ohio</t>
  </si>
  <si>
    <t>Census Tract 507, Lawrence County, Ohio</t>
  </si>
  <si>
    <t>Census Tract 508, Lawrence County, Ohio</t>
  </si>
  <si>
    <t>Census Tract 509, Lawrence County, Ohio</t>
  </si>
  <si>
    <t>Census Tract 510.01, Lawrence County, Ohio</t>
  </si>
  <si>
    <t>Census Tract 510.02, Lawrence County, Ohio</t>
  </si>
  <si>
    <t>Census Tract 511, Lawrence County, Ohio</t>
  </si>
  <si>
    <t>Census Tract 512, Lawrence County, Ohio</t>
  </si>
  <si>
    <t>Census Tract 513, Lawrence County, Ohio</t>
  </si>
  <si>
    <t>Census Tract 514.01, Lawrence County, Ohio</t>
  </si>
  <si>
    <t>Census Tract 514.02, Lawrence County, Ohio</t>
  </si>
  <si>
    <t>Census Tract 7507, Licking County, Ohio</t>
  </si>
  <si>
    <t>Census Tract 7510, Licking County, Ohio</t>
  </si>
  <si>
    <t>Census Tract 7513, Licking County, Ohio</t>
  </si>
  <si>
    <t>Census Tract 7516, Licking County, Ohio</t>
  </si>
  <si>
    <t>Census Tract 7519, Licking County, Ohio</t>
  </si>
  <si>
    <t>Census Tract 7522, Licking County, Ohio</t>
  </si>
  <si>
    <t>Census Tract 7525, Licking County, Ohio</t>
  </si>
  <si>
    <t>Census Tract 7528, Licking County, Ohio</t>
  </si>
  <si>
    <t>Census Tract 7531, Licking County, Ohio</t>
  </si>
  <si>
    <t>Census Tract 7533, Licking County, Ohio</t>
  </si>
  <si>
    <t>Census Tract 7536, Licking County, Ohio</t>
  </si>
  <si>
    <t>Census Tract 7539, Licking County, Ohio</t>
  </si>
  <si>
    <t>Census Tract 7541.01, Licking County, Ohio</t>
  </si>
  <si>
    <t>Census Tract 7541.02, Licking County, Ohio</t>
  </si>
  <si>
    <t>Census Tract 7544, Licking County, Ohio</t>
  </si>
  <si>
    <t>Census Tract 7547, Licking County, Ohio</t>
  </si>
  <si>
    <t>Census Tract 7550, Licking County, Ohio</t>
  </si>
  <si>
    <t>Census Tract 7553, Licking County, Ohio</t>
  </si>
  <si>
    <t>Census Tract 7556, Licking County, Ohio</t>
  </si>
  <si>
    <t>Census Tract 7559, Licking County, Ohio</t>
  </si>
  <si>
    <t>Census Tract 7562.01, Licking County, Ohio</t>
  </si>
  <si>
    <t>Census Tract 7562.02, Licking County, Ohio</t>
  </si>
  <si>
    <t>Census Tract 7565, Licking County, Ohio</t>
  </si>
  <si>
    <t>Census Tract 7568, Licking County, Ohio</t>
  </si>
  <si>
    <t>Census Tract 7571, Licking County, Ohio</t>
  </si>
  <si>
    <t>Census Tract 7574, Licking County, Ohio</t>
  </si>
  <si>
    <t>Census Tract 7577, Licking County, Ohio</t>
  </si>
  <si>
    <t>Census Tract 7583, Licking County, Ohio</t>
  </si>
  <si>
    <t>Census Tract 7586, Licking County, Ohio</t>
  </si>
  <si>
    <t>Census Tract 7589, Licking County, Ohio</t>
  </si>
  <si>
    <t>Census Tract 7590, Licking County, Ohio</t>
  </si>
  <si>
    <t>Census Tract 7591, Licking County, Ohio</t>
  </si>
  <si>
    <t>Census Tract 38, Logan County, Ohio</t>
  </si>
  <si>
    <t>Census Tract 39, Logan County, Ohio</t>
  </si>
  <si>
    <t>Census Tract 40, Logan County, Ohio</t>
  </si>
  <si>
    <t>Census Tract 41, Logan County, Ohio</t>
  </si>
  <si>
    <t>Census Tract 42, Logan County, Ohio</t>
  </si>
  <si>
    <t>Census Tract 43, Logan County, Ohio</t>
  </si>
  <si>
    <t>Census Tract 44, Logan County, Ohio</t>
  </si>
  <si>
    <t>Census Tract 45, Logan County, Ohio</t>
  </si>
  <si>
    <t>Census Tract 46, Logan County, Ohio</t>
  </si>
  <si>
    <t>Census Tract 47, Logan County, Ohio</t>
  </si>
  <si>
    <t>Census Tract 48, Logan County, Ohio</t>
  </si>
  <si>
    <t>Census Tract 102, Lorain County, Ohio</t>
  </si>
  <si>
    <t>Census Tract 103, Lorain County, Ohio</t>
  </si>
  <si>
    <t>Census Tract 104, Lorain County, Ohio</t>
  </si>
  <si>
    <t>Census Tract 131, Lorain County, Ohio</t>
  </si>
  <si>
    <t>Census Tract 132, Lorain County, Ohio</t>
  </si>
  <si>
    <t>Census Tract 211, Lorain County, Ohio</t>
  </si>
  <si>
    <t>Census Tract 212, Lorain County, Ohio</t>
  </si>
  <si>
    <t>Census Tract 221, Lorain County, Ohio</t>
  </si>
  <si>
    <t>Census Tract 222, Lorain County, Ohio</t>
  </si>
  <si>
    <t>Census Tract 224, Lorain County, Ohio</t>
  </si>
  <si>
    <t>Census Tract 225, Lorain County, Ohio</t>
  </si>
  <si>
    <t>Census Tract 226.01, Lorain County, Ohio</t>
  </si>
  <si>
    <t>Census Tract 228, Lorain County, Ohio</t>
  </si>
  <si>
    <t>Census Tract 230, Lorain County, Ohio</t>
  </si>
  <si>
    <t>Census Tract 231, Lorain County, Ohio</t>
  </si>
  <si>
    <t>Census Tract 232, Lorain County, Ohio</t>
  </si>
  <si>
    <t>Census Tract 233, Lorain County, Ohio</t>
  </si>
  <si>
    <t>Census Tract 234, Lorain County, Ohio</t>
  </si>
  <si>
    <t>Census Tract 235, Lorain County, Ohio</t>
  </si>
  <si>
    <t>Census Tract 236, Lorain County, Ohio</t>
  </si>
  <si>
    <t>Census Tract 237, Lorain County, Ohio</t>
  </si>
  <si>
    <t>Census Tract 238, Lorain County, Ohio</t>
  </si>
  <si>
    <t>Census Tract 239, Lorain County, Ohio</t>
  </si>
  <si>
    <t>Census Tract 240, Lorain County, Ohio</t>
  </si>
  <si>
    <t>Census Tract 241, Lorain County, Ohio</t>
  </si>
  <si>
    <t>Census Tract 242, Lorain County, Ohio</t>
  </si>
  <si>
    <t>Census Tract 281, Lorain County, Ohio</t>
  </si>
  <si>
    <t>Census Tract 301, Lorain County, Ohio</t>
  </si>
  <si>
    <t>Census Tract 501, Lorain County, Ohio</t>
  </si>
  <si>
    <t>Census Tract 502, Lorain County, Ohio</t>
  </si>
  <si>
    <t>Census Tract 503, Lorain County, Ohio</t>
  </si>
  <si>
    <t>Census Tract 504, Lorain County, Ohio</t>
  </si>
  <si>
    <t>Census Tract 571, Lorain County, Ohio</t>
  </si>
  <si>
    <t>Census Tract 601, Lorain County, Ohio</t>
  </si>
  <si>
    <t>Census Tract 602, Lorain County, Ohio</t>
  </si>
  <si>
    <t>Census Tract 701.01, Lorain County, Ohio</t>
  </si>
  <si>
    <t>Census Tract 701.02, Lorain County, Ohio</t>
  </si>
  <si>
    <t>Census Tract 702, Lorain County, Ohio</t>
  </si>
  <si>
    <t>Census Tract 703, Lorain County, Ohio</t>
  </si>
  <si>
    <t>Census Tract 704, Lorain County, Ohio</t>
  </si>
  <si>
    <t>Census Tract 705, Lorain County, Ohio</t>
  </si>
  <si>
    <t>Census Tract 706, Lorain County, Ohio</t>
  </si>
  <si>
    <t>Census Tract 707, Lorain County, Ohio</t>
  </si>
  <si>
    <t>Census Tract 708, Lorain County, Ohio</t>
  </si>
  <si>
    <t>Census Tract 709.01, Lorain County, Ohio</t>
  </si>
  <si>
    <t>Census Tract 709.02, Lorain County, Ohio</t>
  </si>
  <si>
    <t>Census Tract 710, Lorain County, Ohio</t>
  </si>
  <si>
    <t>Census Tract 711, Lorain County, Ohio</t>
  </si>
  <si>
    <t>Census Tract 712.01, Lorain County, Ohio</t>
  </si>
  <si>
    <t>Census Tract 712.02, Lorain County, Ohio</t>
  </si>
  <si>
    <t>Census Tract 713, Lorain County, Ohio</t>
  </si>
  <si>
    <t>Census Tract 714, Lorain County, Ohio</t>
  </si>
  <si>
    <t>Census Tract 715, Lorain County, Ohio</t>
  </si>
  <si>
    <t>Census Tract 771, Lorain County, Ohio</t>
  </si>
  <si>
    <t>Census Tract 801.01, Lorain County, Ohio</t>
  </si>
  <si>
    <t>Census Tract 801.03, Lorain County, Ohio</t>
  </si>
  <si>
    <t>Census Tract 801.04, Lorain County, Ohio</t>
  </si>
  <si>
    <t>Census Tract 805, Lorain County, Ohio</t>
  </si>
  <si>
    <t>Census Tract 806, Lorain County, Ohio</t>
  </si>
  <si>
    <t>Census Tract 807, Lorain County, Ohio</t>
  </si>
  <si>
    <t>Census Tract 901, Lorain County, Ohio</t>
  </si>
  <si>
    <t>Census Tract 902, Lorain County, Ohio</t>
  </si>
  <si>
    <t>Census Tract 911, Lorain County, Ohio</t>
  </si>
  <si>
    <t>Census Tract 912, Lorain County, Ohio</t>
  </si>
  <si>
    <t>Census Tract 921, Lorain County, Ohio</t>
  </si>
  <si>
    <t>Census Tract 931, Lorain County, Ohio</t>
  </si>
  <si>
    <t>Census Tract 941, Lorain County, Ohio</t>
  </si>
  <si>
    <t>Census Tract 951, Lorain County, Ohio</t>
  </si>
  <si>
    <t>Census Tract 961, Lorain County, Ohio</t>
  </si>
  <si>
    <t>Census Tract 971, Lorain County, Ohio</t>
  </si>
  <si>
    <t>Census Tract 972, Lorain County, Ohio</t>
  </si>
  <si>
    <t>Census Tract 973, Lorain County, Ohio</t>
  </si>
  <si>
    <t>Census Tract 974, Lorain County, Ohio</t>
  </si>
  <si>
    <t>Census Tract 2, Lucas County, Ohio</t>
  </si>
  <si>
    <t>Census Tract 3, Lucas County, Ohio</t>
  </si>
  <si>
    <t>Census Tract 4, Lucas County, Ohio</t>
  </si>
  <si>
    <t>Census Tract 6, Lucas County, Ohio</t>
  </si>
  <si>
    <t>Census Tract 7, Lucas County, Ohio</t>
  </si>
  <si>
    <t>Census Tract 8, Lucas County, Ohio</t>
  </si>
  <si>
    <t>Census Tract 9, Lucas County, Ohio</t>
  </si>
  <si>
    <t>Census Tract 10, Lucas County, Ohio</t>
  </si>
  <si>
    <t>Census Tract 11, Lucas County, Ohio</t>
  </si>
  <si>
    <t>Census Tract 12.01, Lucas County, Ohio</t>
  </si>
  <si>
    <t>Census Tract 12.02, Lucas County, Ohio</t>
  </si>
  <si>
    <t>Census Tract 13.01, Lucas County, Ohio</t>
  </si>
  <si>
    <t>Census Tract 13.02, Lucas County, Ohio</t>
  </si>
  <si>
    <t>Census Tract 13.03, Lucas County, Ohio</t>
  </si>
  <si>
    <t>Census Tract 14, Lucas County, Ohio</t>
  </si>
  <si>
    <t>Census Tract 15, Lucas County, Ohio</t>
  </si>
  <si>
    <t>Census Tract 16, Lucas County, Ohio</t>
  </si>
  <si>
    <t>Census Tract 17, Lucas County, Ohio</t>
  </si>
  <si>
    <t>Census Tract 18, Lucas County, Ohio</t>
  </si>
  <si>
    <t>Census Tract 19, Lucas County, Ohio</t>
  </si>
  <si>
    <t>Census Tract 20, Lucas County, Ohio</t>
  </si>
  <si>
    <t>Census Tract 21, Lucas County, Ohio</t>
  </si>
  <si>
    <t>Census Tract 22, Lucas County, Ohio</t>
  </si>
  <si>
    <t>Census Tract 23, Lucas County, Ohio</t>
  </si>
  <si>
    <t>Census Tract 24.01, Lucas County, Ohio</t>
  </si>
  <si>
    <t>Census Tract 24.02, Lucas County, Ohio</t>
  </si>
  <si>
    <t>Census Tract 25, Lucas County, Ohio</t>
  </si>
  <si>
    <t>Census Tract 26, Lucas County, Ohio</t>
  </si>
  <si>
    <t>Census Tract 27, Lucas County, Ohio</t>
  </si>
  <si>
    <t>Census Tract 28, Lucas County, Ohio</t>
  </si>
  <si>
    <t>Census Tract 29, Lucas County, Ohio</t>
  </si>
  <si>
    <t>Census Tract 30, Lucas County, Ohio</t>
  </si>
  <si>
    <t>Census Tract 31, Lucas County, Ohio</t>
  </si>
  <si>
    <t>Census Tract 32, Lucas County, Ohio</t>
  </si>
  <si>
    <t>Census Tract 33, Lucas County, Ohio</t>
  </si>
  <si>
    <t>Census Tract 34, Lucas County, Ohio</t>
  </si>
  <si>
    <t>Census Tract 35, Lucas County, Ohio</t>
  </si>
  <si>
    <t>Census Tract 36, Lucas County, Ohio</t>
  </si>
  <si>
    <t>Census Tract 37, Lucas County, Ohio</t>
  </si>
  <si>
    <t>Census Tract 39, Lucas County, Ohio</t>
  </si>
  <si>
    <t>Census Tract 40, Lucas County, Ohio</t>
  </si>
  <si>
    <t>Census Tract 42, Lucas County, Ohio</t>
  </si>
  <si>
    <t>Census Tract 44, Lucas County, Ohio</t>
  </si>
  <si>
    <t>Census Tract 45.01, Lucas County, Ohio</t>
  </si>
  <si>
    <t>Census Tract 45.03, Lucas County, Ohio</t>
  </si>
  <si>
    <t>Census Tract 45.04, Lucas County, Ohio</t>
  </si>
  <si>
    <t>Census Tract 46, Lucas County, Ohio</t>
  </si>
  <si>
    <t>Census Tract 47.01, Lucas County, Ohio</t>
  </si>
  <si>
    <t>Census Tract 47.02, Lucas County, Ohio</t>
  </si>
  <si>
    <t>Census Tract 48, Lucas County, Ohio</t>
  </si>
  <si>
    <t>Census Tract 49, Lucas County, Ohio</t>
  </si>
  <si>
    <t>Census Tract 50, Lucas County, Ohio</t>
  </si>
  <si>
    <t>Census Tract 51, Lucas County, Ohio</t>
  </si>
  <si>
    <t>Census Tract 52, Lucas County, Ohio</t>
  </si>
  <si>
    <t>Census Tract 53, Lucas County, Ohio</t>
  </si>
  <si>
    <t>Census Tract 54, Lucas County, Ohio</t>
  </si>
  <si>
    <t>Census Tract 55.01, Lucas County, Ohio</t>
  </si>
  <si>
    <t>Census Tract 55.02, Lucas County, Ohio</t>
  </si>
  <si>
    <t>Census Tract 55.03, Lucas County, Ohio</t>
  </si>
  <si>
    <t>Census Tract 56, Lucas County, Ohio</t>
  </si>
  <si>
    <t>Census Tract 57.01, Lucas County, Ohio</t>
  </si>
  <si>
    <t>Census Tract 57.02, Lucas County, Ohio</t>
  </si>
  <si>
    <t>Census Tract 57.03, Lucas County, Ohio</t>
  </si>
  <si>
    <t>Census Tract 58.01, Lucas County, Ohio</t>
  </si>
  <si>
    <t>Census Tract 58.02, Lucas County, Ohio</t>
  </si>
  <si>
    <t>Census Tract 59.01, Lucas County, Ohio</t>
  </si>
  <si>
    <t>Census Tract 59.02, Lucas County, Ohio</t>
  </si>
  <si>
    <t>Census Tract 60, Lucas County, Ohio</t>
  </si>
  <si>
    <t>Census Tract 61, Lucas County, Ohio</t>
  </si>
  <si>
    <t>Census Tract 62, Lucas County, Ohio</t>
  </si>
  <si>
    <t>Census Tract 63, Lucas County, Ohio</t>
  </si>
  <si>
    <t>Census Tract 64, Lucas County, Ohio</t>
  </si>
  <si>
    <t>Census Tract 65, Lucas County, Ohio</t>
  </si>
  <si>
    <t>Census Tract 66, Lucas County, Ohio</t>
  </si>
  <si>
    <t>Census Tract 67, Lucas County, Ohio</t>
  </si>
  <si>
    <t>Census Tract 68, Lucas County, Ohio</t>
  </si>
  <si>
    <t>Census Tract 69, Lucas County, Ohio</t>
  </si>
  <si>
    <t>Census Tract 70.01, Lucas County, Ohio</t>
  </si>
  <si>
    <t>Census Tract 70.02, Lucas County, Ohio</t>
  </si>
  <si>
    <t>Census Tract 71.01, Lucas County, Ohio</t>
  </si>
  <si>
    <t>Census Tract 71.02, Lucas County, Ohio</t>
  </si>
  <si>
    <t>Census Tract 72.02, Lucas County, Ohio</t>
  </si>
  <si>
    <t>Census Tract 72.03, Lucas County, Ohio</t>
  </si>
  <si>
    <t>Census Tract 72.04, Lucas County, Ohio</t>
  </si>
  <si>
    <t>Census Tract 72.05, Lucas County, Ohio</t>
  </si>
  <si>
    <t>Census Tract 73.01, Lucas County, Ohio</t>
  </si>
  <si>
    <t>Census Tract 73.02, Lucas County, Ohio</t>
  </si>
  <si>
    <t>Census Tract 73.03, Lucas County, Ohio</t>
  </si>
  <si>
    <t>Census Tract 74, Lucas County, Ohio</t>
  </si>
  <si>
    <t>Census Tract 75, Lucas County, Ohio</t>
  </si>
  <si>
    <t>Census Tract 76, Lucas County, Ohio</t>
  </si>
  <si>
    <t>Census Tract 77, Lucas County, Ohio</t>
  </si>
  <si>
    <t>Census Tract 78, Lucas County, Ohio</t>
  </si>
  <si>
    <t>Census Tract 79.01, Lucas County, Ohio</t>
  </si>
  <si>
    <t>Census Tract 79.02, Lucas County, Ohio</t>
  </si>
  <si>
    <t>Census Tract 80, Lucas County, Ohio</t>
  </si>
  <si>
    <t>Census Tract 81, Lucas County, Ohio</t>
  </si>
  <si>
    <t>Census Tract 82.01, Lucas County, Ohio</t>
  </si>
  <si>
    <t>Census Tract 82.02, Lucas County, Ohio</t>
  </si>
  <si>
    <t>Census Tract 82.03, Lucas County, Ohio</t>
  </si>
  <si>
    <t>Census Tract 83.01, Lucas County, Ohio</t>
  </si>
  <si>
    <t>Census Tract 83.02, Lucas County, Ohio</t>
  </si>
  <si>
    <t>Census Tract 84, Lucas County, Ohio</t>
  </si>
  <si>
    <t>Census Tract 85, Lucas County, Ohio</t>
  </si>
  <si>
    <t>Census Tract 86, Lucas County, Ohio</t>
  </si>
  <si>
    <t>Census Tract 87, Lucas County, Ohio</t>
  </si>
  <si>
    <t>Census Tract 88, Lucas County, Ohio</t>
  </si>
  <si>
    <t>Census Tract 89.01, Lucas County, Ohio</t>
  </si>
  <si>
    <t>Census Tract 89.02, Lucas County, Ohio</t>
  </si>
  <si>
    <t>Census Tract 90, Lucas County, Ohio</t>
  </si>
  <si>
    <t>Census Tract 91.01, Lucas County, Ohio</t>
  </si>
  <si>
    <t>Census Tract 91.02, Lucas County, Ohio</t>
  </si>
  <si>
    <t>Census Tract 92.01, Lucas County, Ohio</t>
  </si>
  <si>
    <t>Census Tract 92.02, Lucas County, Ohio</t>
  </si>
  <si>
    <t>Census Tract 93, Lucas County, Ohio</t>
  </si>
  <si>
    <t>Census Tract 94, Lucas County, Ohio</t>
  </si>
  <si>
    <t>Census Tract 95, Lucas County, Ohio</t>
  </si>
  <si>
    <t>Census Tract 96, Lucas County, Ohio</t>
  </si>
  <si>
    <t>Census Tract 97, Lucas County, Ohio</t>
  </si>
  <si>
    <t>Census Tract 98, Lucas County, Ohio</t>
  </si>
  <si>
    <t>Census Tract 99, Lucas County, Ohio</t>
  </si>
  <si>
    <t>Census Tract 100.01, Lucas County, Ohio</t>
  </si>
  <si>
    <t>Census Tract 100.02, Lucas County, Ohio</t>
  </si>
  <si>
    <t>Census Tract 101, Lucas County, Ohio</t>
  </si>
  <si>
    <t>Census Tract 102, Lucas County, Ohio</t>
  </si>
  <si>
    <t>Census Tract 103, Lucas County, Ohio</t>
  </si>
  <si>
    <t>Census Tract 104, Lucas County, Ohio</t>
  </si>
  <si>
    <t>Census Tract 401.01, Madison County, Ohio</t>
  </si>
  <si>
    <t>Census Tract 401.02, Madison County, Ohio</t>
  </si>
  <si>
    <t>Census Tract 402.01, Madison County, Ohio</t>
  </si>
  <si>
    <t>Census Tract 402.02, Madison County, Ohio</t>
  </si>
  <si>
    <t>Census Tract 404, Madison County, Ohio</t>
  </si>
  <si>
    <t>Census Tract 405, Madison County, Ohio</t>
  </si>
  <si>
    <t>Census Tract 406, Madison County, Ohio</t>
  </si>
  <si>
    <t>Census Tract 407, Madison County, Ohio</t>
  </si>
  <si>
    <t>Census Tract 410, Madison County, Ohio</t>
  </si>
  <si>
    <t>Census Tract 411, Madison County, Ohio</t>
  </si>
  <si>
    <t>Census Tract 412, Madison County, Ohio</t>
  </si>
  <si>
    <t>Census Tract 413, Madison County, Ohio</t>
  </si>
  <si>
    <t>Census Tract 8003, Mahoning County, Ohio</t>
  </si>
  <si>
    <t>Census Tract 8004, Mahoning County, Ohio</t>
  </si>
  <si>
    <t>Census Tract 8005, Mahoning County, Ohio</t>
  </si>
  <si>
    <t>Census Tract 8006, Mahoning County, Ohio</t>
  </si>
  <si>
    <t>Census Tract 8010, Mahoning County, Ohio</t>
  </si>
  <si>
    <t>Census Tract 8011, Mahoning County, Ohio</t>
  </si>
  <si>
    <t>Census Tract 8012, Mahoning County, Ohio</t>
  </si>
  <si>
    <t>Census Tract 8013, Mahoning County, Ohio</t>
  </si>
  <si>
    <t>Census Tract 8014, Mahoning County, Ohio</t>
  </si>
  <si>
    <t>Census Tract 8015, Mahoning County, Ohio</t>
  </si>
  <si>
    <t>Census Tract 8016, Mahoning County, Ohio</t>
  </si>
  <si>
    <t>Census Tract 8017, Mahoning County, Ohio</t>
  </si>
  <si>
    <t>Census Tract 8021, Mahoning County, Ohio</t>
  </si>
  <si>
    <t>Census Tract 8023, Mahoning County, Ohio</t>
  </si>
  <si>
    <t>Census Tract 8024, Mahoning County, Ohio</t>
  </si>
  <si>
    <t>Census Tract 8025, Mahoning County, Ohio</t>
  </si>
  <si>
    <t>Census Tract 8026, Mahoning County, Ohio</t>
  </si>
  <si>
    <t>Census Tract 8027.01, Mahoning County, Ohio</t>
  </si>
  <si>
    <t>Census Tract 8027.02, Mahoning County, Ohio</t>
  </si>
  <si>
    <t>Census Tract 8028, Mahoning County, Ohio</t>
  </si>
  <si>
    <t>Census Tract 8029, Mahoning County, Ohio</t>
  </si>
  <si>
    <t>Census Tract 8030, Mahoning County, Ohio</t>
  </si>
  <si>
    <t>Census Tract 8040, Mahoning County, Ohio</t>
  </si>
  <si>
    <t>Census Tract 8041, Mahoning County, Ohio</t>
  </si>
  <si>
    <t>Census Tract 8042, Mahoning County, Ohio</t>
  </si>
  <si>
    <t>Census Tract 8043, Mahoning County, Ohio</t>
  </si>
  <si>
    <t>Census Tract 8101, Mahoning County, Ohio</t>
  </si>
  <si>
    <t>Census Tract 8102, Mahoning County, Ohio</t>
  </si>
  <si>
    <t>Census Tract 8103, Mahoning County, Ohio</t>
  </si>
  <si>
    <t>Census Tract 8106, Mahoning County, Ohio</t>
  </si>
  <si>
    <t>Census Tract 8107, Mahoning County, Ohio</t>
  </si>
  <si>
    <t>Census Tract 8108, Mahoning County, Ohio</t>
  </si>
  <si>
    <t>Census Tract 8109, Mahoning County, Ohio</t>
  </si>
  <si>
    <t>Census Tract 8110.01, Mahoning County, Ohio</t>
  </si>
  <si>
    <t>Census Tract 8110.02, Mahoning County, Ohio</t>
  </si>
  <si>
    <t>Census Tract 8111, Mahoning County, Ohio</t>
  </si>
  <si>
    <t>Census Tract 8112, Mahoning County, Ohio</t>
  </si>
  <si>
    <t>Census Tract 8113, Mahoning County, Ohio</t>
  </si>
  <si>
    <t>Census Tract 8114, Mahoning County, Ohio</t>
  </si>
  <si>
    <t>Census Tract 8115, Mahoning County, Ohio</t>
  </si>
  <si>
    <t>Census Tract 8116, Mahoning County, Ohio</t>
  </si>
  <si>
    <t>Census Tract 8117, Mahoning County, Ohio</t>
  </si>
  <si>
    <t>Census Tract 8118, Mahoning County, Ohio</t>
  </si>
  <si>
    <t>Census Tract 8119.01, Mahoning County, Ohio</t>
  </si>
  <si>
    <t>Census Tract 8119.02, Mahoning County, Ohio</t>
  </si>
  <si>
    <t>Census Tract 8120.01, Mahoning County, Ohio</t>
  </si>
  <si>
    <t>Census Tract 8120.02, Mahoning County, Ohio</t>
  </si>
  <si>
    <t>Census Tract 8121, Mahoning County, Ohio</t>
  </si>
  <si>
    <t>Census Tract 8122, Mahoning County, Ohio</t>
  </si>
  <si>
    <t>Census Tract 8123.01, Mahoning County, Ohio</t>
  </si>
  <si>
    <t>Census Tract 8123.02, Mahoning County, Ohio</t>
  </si>
  <si>
    <t>Census Tract 8124, Mahoning County, Ohio</t>
  </si>
  <si>
    <t>Census Tract 8125, Mahoning County, Ohio</t>
  </si>
  <si>
    <t>Census Tract 8126.01, Mahoning County, Ohio</t>
  </si>
  <si>
    <t>Census Tract 8126.02, Mahoning County, Ohio</t>
  </si>
  <si>
    <t>Census Tract 8126.03, Mahoning County, Ohio</t>
  </si>
  <si>
    <t>Census Tract 8127, Mahoning County, Ohio</t>
  </si>
  <si>
    <t>Census Tract 8128, Mahoning County, Ohio</t>
  </si>
  <si>
    <t>Census Tract 8129, Mahoning County, Ohio</t>
  </si>
  <si>
    <t>Census Tract 8130, Mahoning County, Ohio</t>
  </si>
  <si>
    <t>Census Tract 8132, Mahoning County, Ohio</t>
  </si>
  <si>
    <t>Census Tract 8133, Mahoning County, Ohio</t>
  </si>
  <si>
    <t>Census Tract 8134, Mahoning County, Ohio</t>
  </si>
  <si>
    <t>Census Tract 8135, Mahoning County, Ohio</t>
  </si>
  <si>
    <t>Census Tract 8136, Mahoning County, Ohio</t>
  </si>
  <si>
    <t>Census Tract 8137, Mahoning County, Ohio</t>
  </si>
  <si>
    <t>Census Tract 8138, Mahoning County, Ohio</t>
  </si>
  <si>
    <t>Census Tract 8139, Mahoning County, Ohio</t>
  </si>
  <si>
    <t>Census Tract 8140, Mahoning County, Ohio</t>
  </si>
  <si>
    <t>Census Tract 8141, Mahoning County, Ohio</t>
  </si>
  <si>
    <t>Census Tract 1, Marion County, Ohio</t>
  </si>
  <si>
    <t>Census Tract 2, Marion County, Ohio</t>
  </si>
  <si>
    <t>Census Tract 3, Marion County, Ohio</t>
  </si>
  <si>
    <t>Census Tract 4, Marion County, Ohio</t>
  </si>
  <si>
    <t>Census Tract 5.01, Marion County, Ohio</t>
  </si>
  <si>
    <t>Census Tract 5.02, Marion County, Ohio</t>
  </si>
  <si>
    <t>Census Tract 6, Marion County, Ohio</t>
  </si>
  <si>
    <t>Census Tract 7, Marion County, Ohio</t>
  </si>
  <si>
    <t>Census Tract 8, Marion County, Ohio</t>
  </si>
  <si>
    <t>Census Tract 9, Marion County, Ohio</t>
  </si>
  <si>
    <t>Census Tract 10, Marion County, Ohio</t>
  </si>
  <si>
    <t>Census Tract 11, Marion County, Ohio</t>
  </si>
  <si>
    <t>Census Tract 101, Marion County, Ohio</t>
  </si>
  <si>
    <t>Census Tract 102.01, Marion County, Ohio</t>
  </si>
  <si>
    <t>Census Tract 102.02, Marion County, Ohio</t>
  </si>
  <si>
    <t>Census Tract 103, Marion County, Ohio</t>
  </si>
  <si>
    <t>Census Tract 104, Marion County, Ohio</t>
  </si>
  <si>
    <t>Census Tract 105, Marion County, Ohio</t>
  </si>
  <si>
    <t>Census Tract 4001, Medina County, Ohio</t>
  </si>
  <si>
    <t>Census Tract 4020, Medina County, Ohio</t>
  </si>
  <si>
    <t>Census Tract 4030.01, Medina County, Ohio</t>
  </si>
  <si>
    <t>Census Tract 4030.02, Medina County, Ohio</t>
  </si>
  <si>
    <t>Census Tract 4040, Medina County, Ohio</t>
  </si>
  <si>
    <t>Census Tract 4050, Medina County, Ohio</t>
  </si>
  <si>
    <t>Census Tract 4060, Medina County, Ohio</t>
  </si>
  <si>
    <t>Census Tract 4070, Medina County, Ohio</t>
  </si>
  <si>
    <t>Census Tract 4080.01, Medina County, Ohio</t>
  </si>
  <si>
    <t>Census Tract 4080.02, Medina County, Ohio</t>
  </si>
  <si>
    <t>Census Tract 4080.03, Medina County, Ohio</t>
  </si>
  <si>
    <t>Census Tract 4081, Medina County, Ohio</t>
  </si>
  <si>
    <t>Census Tract 4082.01, Medina County, Ohio</t>
  </si>
  <si>
    <t>Census Tract 4082.02, Medina County, Ohio</t>
  </si>
  <si>
    <t>Census Tract 4083.01, Medina County, Ohio</t>
  </si>
  <si>
    <t>Census Tract 4083.02, Medina County, Ohio</t>
  </si>
  <si>
    <t>Census Tract 4090.01, Medina County, Ohio</t>
  </si>
  <si>
    <t>Census Tract 4090.02, Medina County, Ohio</t>
  </si>
  <si>
    <t>Census Tract 4100, Medina County, Ohio</t>
  </si>
  <si>
    <t>Census Tract 4110.01, Medina County, Ohio</t>
  </si>
  <si>
    <t>Census Tract 4110.02, Medina County, Ohio</t>
  </si>
  <si>
    <t>Census Tract 4120, Medina County, Ohio</t>
  </si>
  <si>
    <t>Census Tract 4130, Medina County, Ohio</t>
  </si>
  <si>
    <t>Census Tract 4151, Medina County, Ohio</t>
  </si>
  <si>
    <t>Census Tract 4152, Medina County, Ohio</t>
  </si>
  <si>
    <t>Census Tract 4153, Medina County, Ohio</t>
  </si>
  <si>
    <t>Census Tract 4154, Medina County, Ohio</t>
  </si>
  <si>
    <t>Census Tract 4158, Medina County, Ohio</t>
  </si>
  <si>
    <t>Census Tract 4160, Medina County, Ohio</t>
  </si>
  <si>
    <t>Census Tract 4161, Medina County, Ohio</t>
  </si>
  <si>
    <t>Census Tract 4162, Medina County, Ohio</t>
  </si>
  <si>
    <t>Census Tract 4163, Medina County, Ohio</t>
  </si>
  <si>
    <t>Census Tract 4164, Medina County, Ohio</t>
  </si>
  <si>
    <t>Census Tract 4170, Medina County, Ohio</t>
  </si>
  <si>
    <t>Census Tract 4171, Medina County, Ohio</t>
  </si>
  <si>
    <t>Census Tract 4172, Medina County, Ohio</t>
  </si>
  <si>
    <t>Census Tract 4173, Medina County, Ohio</t>
  </si>
  <si>
    <t>Census Tract 9641, Meigs County, Ohio</t>
  </si>
  <si>
    <t>Census Tract 9642, Meigs County, Ohio</t>
  </si>
  <si>
    <t>Census Tract 9643, Meigs County, Ohio</t>
  </si>
  <si>
    <t>Census Tract 9644, Meigs County, Ohio</t>
  </si>
  <si>
    <t>Census Tract 9645, Meigs County, Ohio</t>
  </si>
  <si>
    <t>Census Tract 9646, Meigs County, Ohio</t>
  </si>
  <si>
    <t>Census Tract 9672, Mercer County, Ohio</t>
  </si>
  <si>
    <t>Census Tract 9673, Mercer County, Ohio</t>
  </si>
  <si>
    <t>Census Tract 9674, Mercer County, Ohio</t>
  </si>
  <si>
    <t>Census Tract 9675, Mercer County, Ohio</t>
  </si>
  <si>
    <t>Census Tract 9676, Mercer County, Ohio</t>
  </si>
  <si>
    <t>Census Tract 9677, Mercer County, Ohio</t>
  </si>
  <si>
    <t>Census Tract 9678, Mercer County, Ohio</t>
  </si>
  <si>
    <t>Census Tract 9679, Mercer County, Ohio</t>
  </si>
  <si>
    <t>Census Tract 9680, Mercer County, Ohio</t>
  </si>
  <si>
    <t>Census Tract 3001, Miami County, Ohio</t>
  </si>
  <si>
    <t>Census Tract 3150.01, Miami County, Ohio</t>
  </si>
  <si>
    <t>Census Tract 3150.02, Miami County, Ohio</t>
  </si>
  <si>
    <t>Census Tract 3151, Miami County, Ohio</t>
  </si>
  <si>
    <t>Census Tract 3153, Miami County, Ohio</t>
  </si>
  <si>
    <t>Census Tract 3201, Miami County, Ohio</t>
  </si>
  <si>
    <t>Census Tract 3250, Miami County, Ohio</t>
  </si>
  <si>
    <t>Census Tract 3301, Miami County, Ohio</t>
  </si>
  <si>
    <t>Census Tract 3401, Miami County, Ohio</t>
  </si>
  <si>
    <t>Census Tract 3450, Miami County, Ohio</t>
  </si>
  <si>
    <t>Census Tract 3501, Miami County, Ohio</t>
  </si>
  <si>
    <t>Census Tract 3550.01, Miami County, Ohio</t>
  </si>
  <si>
    <t>Census Tract 3550.02, Miami County, Ohio</t>
  </si>
  <si>
    <t>Census Tract 3650, Miami County, Ohio</t>
  </si>
  <si>
    <t>Census Tract 3651.01, Miami County, Ohio</t>
  </si>
  <si>
    <t>Census Tract 3651.02, Miami County, Ohio</t>
  </si>
  <si>
    <t>Census Tract 3652, Miami County, Ohio</t>
  </si>
  <si>
    <t>Census Tract 3653.01, Miami County, Ohio</t>
  </si>
  <si>
    <t>Census Tract 3653.02, Miami County, Ohio</t>
  </si>
  <si>
    <t>Census Tract 3801, Miami County, Ohio</t>
  </si>
  <si>
    <t>Census Tract 3901, Miami County, Ohio</t>
  </si>
  <si>
    <t>Census Tract 9666, Monroe County, Ohio</t>
  </si>
  <si>
    <t>Census Tract 9667, Monroe County, Ohio</t>
  </si>
  <si>
    <t>Census Tract 9668, Monroe County, Ohio</t>
  </si>
  <si>
    <t>Census Tract 9669, Monroe County, Ohio</t>
  </si>
  <si>
    <t>Census Tract 1, Montgomery County, Ohio</t>
  </si>
  <si>
    <t>Census Tract 2, Montgomery County, Ohio</t>
  </si>
  <si>
    <t>Census Tract 3, Montgomery County, Ohio</t>
  </si>
  <si>
    <t>Census Tract 4, Montgomery County, Ohio</t>
  </si>
  <si>
    <t>Census Tract 5, Montgomery County, Ohio</t>
  </si>
  <si>
    <t>Census Tract 6, Montgomery County, Ohio</t>
  </si>
  <si>
    <t>Census Tract 7, Montgomery County, Ohio</t>
  </si>
  <si>
    <t>Census Tract 8.01, Montgomery County, Ohio</t>
  </si>
  <si>
    <t>Census Tract 8.02, Montgomery County, Ohio</t>
  </si>
  <si>
    <t>Census Tract 9, Montgomery County, Ohio</t>
  </si>
  <si>
    <t>Census Tract 10, Montgomery County, Ohio</t>
  </si>
  <si>
    <t>Census Tract 11, Montgomery County, Ohio</t>
  </si>
  <si>
    <t>Census Tract 12, Montgomery County, Ohio</t>
  </si>
  <si>
    <t>Census Tract 15.01, Montgomery County, Ohio</t>
  </si>
  <si>
    <t>Census Tract 16, Montgomery County, Ohio</t>
  </si>
  <si>
    <t>Census Tract 17, Montgomery County, Ohio</t>
  </si>
  <si>
    <t>Census Tract 18, Montgomery County, Ohio</t>
  </si>
  <si>
    <t>Census Tract 19, Montgomery County, Ohio</t>
  </si>
  <si>
    <t>Census Tract 20, Montgomery County, Ohio</t>
  </si>
  <si>
    <t>Census Tract 22, Montgomery County, Ohio</t>
  </si>
  <si>
    <t>Census Tract 23, Montgomery County, Ohio</t>
  </si>
  <si>
    <t>Census Tract 24, Montgomery County, Ohio</t>
  </si>
  <si>
    <t>Census Tract 25, Montgomery County, Ohio</t>
  </si>
  <si>
    <t>Census Tract 26, Montgomery County, Ohio</t>
  </si>
  <si>
    <t>Census Tract 27, Montgomery County, Ohio</t>
  </si>
  <si>
    <t>Census Tract 28, Montgomery County, Ohio</t>
  </si>
  <si>
    <t>Census Tract 29, Montgomery County, Ohio</t>
  </si>
  <si>
    <t>Census Tract 30, Montgomery County, Ohio</t>
  </si>
  <si>
    <t>Census Tract 31, Montgomery County, Ohio</t>
  </si>
  <si>
    <t>Census Tract 32.01, Montgomery County, Ohio</t>
  </si>
  <si>
    <t>Census Tract 33, Montgomery County, Ohio</t>
  </si>
  <si>
    <t>Census Tract 34.02, Montgomery County, Ohio</t>
  </si>
  <si>
    <t>Census Tract 34.03, Montgomery County, Ohio</t>
  </si>
  <si>
    <t>Census Tract 34.04, Montgomery County, Ohio</t>
  </si>
  <si>
    <t>Census Tract 35, Montgomery County, Ohio</t>
  </si>
  <si>
    <t>Census Tract 38, Montgomery County, Ohio</t>
  </si>
  <si>
    <t>Census Tract 39, Montgomery County, Ohio</t>
  </si>
  <si>
    <t>Census Tract 41, Montgomery County, Ohio</t>
  </si>
  <si>
    <t>Census Tract 42, Montgomery County, Ohio</t>
  </si>
  <si>
    <t>Census Tract 43, Montgomery County, Ohio</t>
  </si>
  <si>
    <t>Census Tract 44, Montgomery County, Ohio</t>
  </si>
  <si>
    <t>Census Tract 46, Montgomery County, Ohio</t>
  </si>
  <si>
    <t>Census Tract 101, Montgomery County, Ohio</t>
  </si>
  <si>
    <t>Census Tract 102, Montgomery County, Ohio</t>
  </si>
  <si>
    <t>Census Tract 201, Montgomery County, Ohio</t>
  </si>
  <si>
    <t>Census Tract 202, Montgomery County, Ohio</t>
  </si>
  <si>
    <t>Census Tract 203, Montgomery County, Ohio</t>
  </si>
  <si>
    <t>Census Tract 204, Montgomery County, Ohio</t>
  </si>
  <si>
    <t>Census Tract 205, Montgomery County, Ohio</t>
  </si>
  <si>
    <t>Census Tract 206.01, Montgomery County, Ohio</t>
  </si>
  <si>
    <t>Census Tract 206.02, Montgomery County, Ohio</t>
  </si>
  <si>
    <t>Census Tract 207, Montgomery County, Ohio</t>
  </si>
  <si>
    <t>Census Tract 208, Montgomery County, Ohio</t>
  </si>
  <si>
    <t>Census Tract 209, Montgomery County, Ohio</t>
  </si>
  <si>
    <t>Census Tract 210, Montgomery County, Ohio</t>
  </si>
  <si>
    <t>Census Tract 211, Montgomery County, Ohio</t>
  </si>
  <si>
    <t>Census Tract 212, Montgomery County, Ohio</t>
  </si>
  <si>
    <t>Census Tract 213.01, Montgomery County, Ohio</t>
  </si>
  <si>
    <t>Census Tract 213.02, Montgomery County, Ohio</t>
  </si>
  <si>
    <t>Census Tract 214, Montgomery County, Ohio</t>
  </si>
  <si>
    <t>Census Tract 215.01, Montgomery County, Ohio</t>
  </si>
  <si>
    <t>Census Tract 215.02, Montgomery County, Ohio</t>
  </si>
  <si>
    <t>Census Tract 216.01, Montgomery County, Ohio</t>
  </si>
  <si>
    <t>Census Tract 216.02, Montgomery County, Ohio</t>
  </si>
  <si>
    <t>Census Tract 217, Montgomery County, Ohio</t>
  </si>
  <si>
    <t>Census Tract 218, Montgomery County, Ohio</t>
  </si>
  <si>
    <t>Census Tract 219, Montgomery County, Ohio</t>
  </si>
  <si>
    <t>Census Tract 301, Montgomery County, Ohio</t>
  </si>
  <si>
    <t>Census Tract 302, Montgomery County, Ohio</t>
  </si>
  <si>
    <t>Census Tract 401.01, Montgomery County, Ohio</t>
  </si>
  <si>
    <t>Census Tract 401.02, Montgomery County, Ohio</t>
  </si>
  <si>
    <t>Census Tract 401.03, Montgomery County, Ohio</t>
  </si>
  <si>
    <t>Census Tract 402.01, Montgomery County, Ohio</t>
  </si>
  <si>
    <t>Census Tract 402.03, Montgomery County, Ohio</t>
  </si>
  <si>
    <t>Census Tract 402.04, Montgomery County, Ohio</t>
  </si>
  <si>
    <t>Census Tract 403.02, Montgomery County, Ohio</t>
  </si>
  <si>
    <t>Census Tract 403.03, Montgomery County, Ohio</t>
  </si>
  <si>
    <t>Census Tract 403.05, Montgomery County, Ohio</t>
  </si>
  <si>
    <t>Census Tract 403.06, Montgomery County, Ohio</t>
  </si>
  <si>
    <t>Census Tract 404.01, Montgomery County, Ohio</t>
  </si>
  <si>
    <t>Census Tract 404.03, Montgomery County, Ohio</t>
  </si>
  <si>
    <t>Census Tract 404.05, Montgomery County, Ohio</t>
  </si>
  <si>
    <t>Census Tract 404.06, Montgomery County, Ohio</t>
  </si>
  <si>
    <t>Census Tract 501.01, Montgomery County, Ohio</t>
  </si>
  <si>
    <t>Census Tract 501.03, Montgomery County, Ohio</t>
  </si>
  <si>
    <t>Census Tract 501.04, Montgomery County, Ohio</t>
  </si>
  <si>
    <t>Census Tract 501.05, Montgomery County, Ohio</t>
  </si>
  <si>
    <t>Census Tract 503.01, Montgomery County, Ohio</t>
  </si>
  <si>
    <t>Census Tract 503.02, Montgomery County, Ohio</t>
  </si>
  <si>
    <t>Census Tract 503.03, Montgomery County, Ohio</t>
  </si>
  <si>
    <t>Census Tract 504.01, Montgomery County, Ohio</t>
  </si>
  <si>
    <t>Census Tract 504.02, Montgomery County, Ohio</t>
  </si>
  <si>
    <t>Census Tract 505.02, Montgomery County, Ohio</t>
  </si>
  <si>
    <t>Census Tract 505.03, Montgomery County, Ohio</t>
  </si>
  <si>
    <t>Census Tract 505.04, Montgomery County, Ohio</t>
  </si>
  <si>
    <t>Census Tract 506, Montgomery County, Ohio</t>
  </si>
  <si>
    <t>Census Tract 601, Montgomery County, Ohio</t>
  </si>
  <si>
    <t>Census Tract 602, Montgomery County, Ohio</t>
  </si>
  <si>
    <t>Census Tract 603, Montgomery County, Ohio</t>
  </si>
  <si>
    <t>Census Tract 701.01, Montgomery County, Ohio</t>
  </si>
  <si>
    <t>Census Tract 701.02, Montgomery County, Ohio</t>
  </si>
  <si>
    <t>Census Tract 702.01, Montgomery County, Ohio</t>
  </si>
  <si>
    <t>Census Tract 702.02, Montgomery County, Ohio</t>
  </si>
  <si>
    <t>Census Tract 703, Montgomery County, Ohio</t>
  </si>
  <si>
    <t>Census Tract 704, Montgomery County, Ohio</t>
  </si>
  <si>
    <t>Census Tract 705, Montgomery County, Ohio</t>
  </si>
  <si>
    <t>Census Tract 706, Montgomery County, Ohio</t>
  </si>
  <si>
    <t>Census Tract 707, Montgomery County, Ohio</t>
  </si>
  <si>
    <t>Census Tract 801, Montgomery County, Ohio</t>
  </si>
  <si>
    <t>Census Tract 802, Montgomery County, Ohio</t>
  </si>
  <si>
    <t>Census Tract 803, Montgomery County, Ohio</t>
  </si>
  <si>
    <t>Census Tract 804, Montgomery County, Ohio</t>
  </si>
  <si>
    <t>Census Tract 805, Montgomery County, Ohio</t>
  </si>
  <si>
    <t>Census Tract 806, Montgomery County, Ohio</t>
  </si>
  <si>
    <t>Census Tract 807, Montgomery County, Ohio</t>
  </si>
  <si>
    <t>Census Tract 903.02, Montgomery County, Ohio</t>
  </si>
  <si>
    <t>Census Tract 903.03, Montgomery County, Ohio</t>
  </si>
  <si>
    <t>Census Tract 903.04, Montgomery County, Ohio</t>
  </si>
  <si>
    <t>Census Tract 906, Montgomery County, Ohio</t>
  </si>
  <si>
    <t>Census Tract 907, Montgomery County, Ohio</t>
  </si>
  <si>
    <t>Census Tract 908, Montgomery County, Ohio</t>
  </si>
  <si>
    <t>Census Tract 909, Montgomery County, Ohio</t>
  </si>
  <si>
    <t>Census Tract 910, Montgomery County, Ohio</t>
  </si>
  <si>
    <t>Census Tract 911, Montgomery County, Ohio</t>
  </si>
  <si>
    <t>Census Tract 1001.01, Montgomery County, Ohio</t>
  </si>
  <si>
    <t>Census Tract 1001.02, Montgomery County, Ohio</t>
  </si>
  <si>
    <t>Census Tract 1002.01, Montgomery County, Ohio</t>
  </si>
  <si>
    <t>Census Tract 1002.02, Montgomery County, Ohio</t>
  </si>
  <si>
    <t>Census Tract 1002.03, Montgomery County, Ohio</t>
  </si>
  <si>
    <t>Census Tract 1003.01, Montgomery County, Ohio</t>
  </si>
  <si>
    <t>Census Tract 1003.02, Montgomery County, Ohio</t>
  </si>
  <si>
    <t>Census Tract 1004, Montgomery County, Ohio</t>
  </si>
  <si>
    <t>Census Tract 1101, Montgomery County, Ohio</t>
  </si>
  <si>
    <t>Census Tract 1102.01, Montgomery County, Ohio</t>
  </si>
  <si>
    <t>Census Tract 1102.02, Montgomery County, Ohio</t>
  </si>
  <si>
    <t>Census Tract 1150.02, Montgomery County, Ohio</t>
  </si>
  <si>
    <t>Census Tract 1150.11, Montgomery County, Ohio</t>
  </si>
  <si>
    <t>Census Tract 1150.12, Montgomery County, Ohio</t>
  </si>
  <si>
    <t>Census Tract 1201.01, Montgomery County, Ohio</t>
  </si>
  <si>
    <t>Census Tract 1201.02, Montgomery County, Ohio</t>
  </si>
  <si>
    <t>Census Tract 1201.03, Montgomery County, Ohio</t>
  </si>
  <si>
    <t>Census Tract 1250, Montgomery County, Ohio</t>
  </si>
  <si>
    <t>Census Tract 1251.01, Montgomery County, Ohio</t>
  </si>
  <si>
    <t>Census Tract 1251.02, Montgomery County, Ohio</t>
  </si>
  <si>
    <t>Census Tract 1301.01, Montgomery County, Ohio</t>
  </si>
  <si>
    <t>Census Tract 1301.02, Montgomery County, Ohio</t>
  </si>
  <si>
    <t>Census Tract 1401, Montgomery County, Ohio</t>
  </si>
  <si>
    <t>Census Tract 1501, Montgomery County, Ohio</t>
  </si>
  <si>
    <t>Census Tract 1601, Montgomery County, Ohio</t>
  </si>
  <si>
    <t>Census Tract 1650, Montgomery County, Ohio</t>
  </si>
  <si>
    <t>Census Tract 1651, Montgomery County, Ohio</t>
  </si>
  <si>
    <t>Census Tract 1652, Montgomery County, Ohio</t>
  </si>
  <si>
    <t>Census Tract 9800, Montgomery County, Ohio</t>
  </si>
  <si>
    <t>Census Tract 9688, Morgan County, Ohio</t>
  </si>
  <si>
    <t>Census Tract 9689, Morgan County, Ohio</t>
  </si>
  <si>
    <t>Census Tract 9690, Morgan County, Ohio</t>
  </si>
  <si>
    <t>Census Tract 9691, Morgan County, Ohio</t>
  </si>
  <si>
    <t>Census Tract 9650, Morrow County, Ohio</t>
  </si>
  <si>
    <t>Census Tract 9651, Morrow County, Ohio</t>
  </si>
  <si>
    <t>Census Tract 9652, Morrow County, Ohio</t>
  </si>
  <si>
    <t>Census Tract 9653, Morrow County, Ohio</t>
  </si>
  <si>
    <t>Census Tract 9654, Morrow County, Ohio</t>
  </si>
  <si>
    <t>Census Tract 9655, Morrow County, Ohio</t>
  </si>
  <si>
    <t>Census Tract 9110, Muskingum County, Ohio</t>
  </si>
  <si>
    <t>Census Tract 9111, Muskingum County, Ohio</t>
  </si>
  <si>
    <t>Census Tract 9112, Muskingum County, Ohio</t>
  </si>
  <si>
    <t>Census Tract 9113, Muskingum County, Ohio</t>
  </si>
  <si>
    <t>Census Tract 9114, Muskingum County, Ohio</t>
  </si>
  <si>
    <t>Census Tract 9115, Muskingum County, Ohio</t>
  </si>
  <si>
    <t>Census Tract 9116, Muskingum County, Ohio</t>
  </si>
  <si>
    <t>Census Tract 9117, Muskingum County, Ohio</t>
  </si>
  <si>
    <t>Census Tract 9118, Muskingum County, Ohio</t>
  </si>
  <si>
    <t>Census Tract 9119, Muskingum County, Ohio</t>
  </si>
  <si>
    <t>Census Tract 9120, Muskingum County, Ohio</t>
  </si>
  <si>
    <t>Census Tract 9121, Muskingum County, Ohio</t>
  </si>
  <si>
    <t>Census Tract 9122, Muskingum County, Ohio</t>
  </si>
  <si>
    <t>Census Tract 9123, Muskingum County, Ohio</t>
  </si>
  <si>
    <t>Census Tract 9124, Muskingum County, Ohio</t>
  </si>
  <si>
    <t>Census Tract 9125, Muskingum County, Ohio</t>
  </si>
  <si>
    <t>Census Tract 9126, Muskingum County, Ohio</t>
  </si>
  <si>
    <t>Census Tract 9127, Muskingum County, Ohio</t>
  </si>
  <si>
    <t>Census Tract 9128, Muskingum County, Ohio</t>
  </si>
  <si>
    <t>Census Tract 9683, Noble County, Ohio</t>
  </si>
  <si>
    <t>Census Tract 9684, Noble County, Ohio</t>
  </si>
  <si>
    <t>Census Tract 9685, Noble County, Ohio</t>
  </si>
  <si>
    <t>Census Tract 501, Ottawa County, Ohio</t>
  </si>
  <si>
    <t>Census Tract 502.01, Ottawa County, Ohio</t>
  </si>
  <si>
    <t>Census Tract 502.02, Ottawa County, Ohio</t>
  </si>
  <si>
    <t>Census Tract 503.01, Ottawa County, Ohio</t>
  </si>
  <si>
    <t>Census Tract 503.02, Ottawa County, Ohio</t>
  </si>
  <si>
    <t>Census Tract 505, Ottawa County, Ohio</t>
  </si>
  <si>
    <t>Census Tract 506, Ottawa County, Ohio</t>
  </si>
  <si>
    <t>Census Tract 507, Ottawa County, Ohio</t>
  </si>
  <si>
    <t>Census Tract 508, Ottawa County, Ohio</t>
  </si>
  <si>
    <t>Census Tract 509, Ottawa County, Ohio</t>
  </si>
  <si>
    <t>Census Tract 510, Ottawa County, Ohio</t>
  </si>
  <si>
    <t>Census Tract 511, Ottawa County, Ohio</t>
  </si>
  <si>
    <t>Census Tract 512, Ottawa County, Ohio</t>
  </si>
  <si>
    <t>Census Tract 9601, Paulding County, Ohio</t>
  </si>
  <si>
    <t>Census Tract 9602, Paulding County, Ohio</t>
  </si>
  <si>
    <t>Census Tract 9603, Paulding County, Ohio</t>
  </si>
  <si>
    <t>Census Tract 9604, Paulding County, Ohio</t>
  </si>
  <si>
    <t>Census Tract 9605, Paulding County, Ohio</t>
  </si>
  <si>
    <t>Census Tract 9658, Perry County, Ohio</t>
  </si>
  <si>
    <t>Census Tract 9659, Perry County, Ohio</t>
  </si>
  <si>
    <t>Census Tract 9660, Perry County, Ohio</t>
  </si>
  <si>
    <t>Census Tract 9661, Perry County, Ohio</t>
  </si>
  <si>
    <t>Census Tract 9662, Perry County, Ohio</t>
  </si>
  <si>
    <t>Census Tract 9663, Perry County, Ohio</t>
  </si>
  <si>
    <t>Census Tract 201, Pickaway County, Ohio</t>
  </si>
  <si>
    <t>Census Tract 202, Pickaway County, Ohio</t>
  </si>
  <si>
    <t>Census Tract 203.10, Pickaway County, Ohio</t>
  </si>
  <si>
    <t>Census Tract 203.20, Pickaway County, Ohio</t>
  </si>
  <si>
    <t>Census Tract 204, Pickaway County, Ohio</t>
  </si>
  <si>
    <t>Census Tract 211, Pickaway County, Ohio</t>
  </si>
  <si>
    <t>Census Tract 212, Pickaway County, Ohio</t>
  </si>
  <si>
    <t>Census Tract 213, Pickaway County, Ohio</t>
  </si>
  <si>
    <t>Census Tract 214.01, Pickaway County, Ohio</t>
  </si>
  <si>
    <t>Census Tract 214.02, Pickaway County, Ohio</t>
  </si>
  <si>
    <t>Census Tract 215, Pickaway County, Ohio</t>
  </si>
  <si>
    <t>Census Tract 216, Pickaway County, Ohio</t>
  </si>
  <si>
    <t>Census Tract 217, Pickaway County, Ohio</t>
  </si>
  <si>
    <t>Census Tract 9522, Pike County, Ohio</t>
  </si>
  <si>
    <t>Census Tract 9523, Pike County, Ohio</t>
  </si>
  <si>
    <t>Census Tract 9524, Pike County, Ohio</t>
  </si>
  <si>
    <t>Census Tract 9525, Pike County, Ohio</t>
  </si>
  <si>
    <t>Census Tract 9526, Pike County, Ohio</t>
  </si>
  <si>
    <t>Census Tract 9527, Pike County, Ohio</t>
  </si>
  <si>
    <t>Census Tract 6001.02, Portage County, Ohio</t>
  </si>
  <si>
    <t>Census Tract 6001.03, Portage County, Ohio</t>
  </si>
  <si>
    <t>Census Tract 6002, Portage County, Ohio</t>
  </si>
  <si>
    <t>Census Tract 6003.01, Portage County, Ohio</t>
  </si>
  <si>
    <t>Census Tract 6003.02, Portage County, Ohio</t>
  </si>
  <si>
    <t>Census Tract 6004.01, Portage County, Ohio</t>
  </si>
  <si>
    <t>Census Tract 6004.02, Portage County, Ohio</t>
  </si>
  <si>
    <t>Census Tract 6004.03, Portage County, Ohio</t>
  </si>
  <si>
    <t>Census Tract 6005, Portage County, Ohio</t>
  </si>
  <si>
    <t>Census Tract 6006.02, Portage County, Ohio</t>
  </si>
  <si>
    <t>Census Tract 6006.03, Portage County, Ohio</t>
  </si>
  <si>
    <t>Census Tract 6007.03, Portage County, Ohio</t>
  </si>
  <si>
    <t>Census Tract 6007.04, Portage County, Ohio</t>
  </si>
  <si>
    <t>Census Tract 6007.05, Portage County, Ohio</t>
  </si>
  <si>
    <t>Census Tract 6007.06, Portage County, Ohio</t>
  </si>
  <si>
    <t>Census Tract 6008, Portage County, Ohio</t>
  </si>
  <si>
    <t>Census Tract 6009.01, Portage County, Ohio</t>
  </si>
  <si>
    <t>Census Tract 6009.02, Portage County, Ohio</t>
  </si>
  <si>
    <t>Census Tract 6010, Portage County, Ohio</t>
  </si>
  <si>
    <t>Census Tract 6011, Portage County, Ohio</t>
  </si>
  <si>
    <t>Census Tract 6012, Portage County, Ohio</t>
  </si>
  <si>
    <t>Census Tract 6013, Portage County, Ohio</t>
  </si>
  <si>
    <t>Census Tract 6014, Portage County, Ohio</t>
  </si>
  <si>
    <t>Census Tract 6015.01, Portage County, Ohio</t>
  </si>
  <si>
    <t>Census Tract 6015.02, Portage County, Ohio</t>
  </si>
  <si>
    <t>Census Tract 6015.03, Portage County, Ohio</t>
  </si>
  <si>
    <t>Census Tract 6016, Portage County, Ohio</t>
  </si>
  <si>
    <t>Census Tract 6017.01, Portage County, Ohio</t>
  </si>
  <si>
    <t>Census Tract 6017.02, Portage County, Ohio</t>
  </si>
  <si>
    <t>Census Tract 6018.01, Portage County, Ohio</t>
  </si>
  <si>
    <t>Census Tract 6018.02, Portage County, Ohio</t>
  </si>
  <si>
    <t>Census Tract 6019.01, Portage County, Ohio</t>
  </si>
  <si>
    <t>Census Tract 6019.02, Portage County, Ohio</t>
  </si>
  <si>
    <t>Census Tract 6020, Portage County, Ohio</t>
  </si>
  <si>
    <t>Census Tract 6021, Portage County, Ohio</t>
  </si>
  <si>
    <t>Census Tract 4001, Preble County, Ohio</t>
  </si>
  <si>
    <t>Census Tract 4101, Preble County, Ohio</t>
  </si>
  <si>
    <t>Census Tract 4201, Preble County, Ohio</t>
  </si>
  <si>
    <t>Census Tract 4301, Preble County, Ohio</t>
  </si>
  <si>
    <t>Census Tract 4401, Preble County, Ohio</t>
  </si>
  <si>
    <t>Census Tract 4501, Preble County, Ohio</t>
  </si>
  <si>
    <t>Census Tract 4550.01, Preble County, Ohio</t>
  </si>
  <si>
    <t>Census Tract 4550.02, Preble County, Ohio</t>
  </si>
  <si>
    <t>Census Tract 4601, Preble County, Ohio</t>
  </si>
  <si>
    <t>Census Tract 4701.01, Preble County, Ohio</t>
  </si>
  <si>
    <t>Census Tract 4701.02, Preble County, Ohio</t>
  </si>
  <si>
    <t>Census Tract 4801, Preble County, Ohio</t>
  </si>
  <si>
    <t>Census Tract 301, Putnam County, Ohio</t>
  </si>
  <si>
    <t>Census Tract 302, Putnam County, Ohio</t>
  </si>
  <si>
    <t>Census Tract 303, Putnam County, Ohio</t>
  </si>
  <si>
    <t>Census Tract 304, Putnam County, Ohio</t>
  </si>
  <si>
    <t>Census Tract 305, Putnam County, Ohio</t>
  </si>
  <si>
    <t>Census Tract 306, Putnam County, Ohio</t>
  </si>
  <si>
    <t>Census Tract 307, Putnam County, Ohio</t>
  </si>
  <si>
    <t>Census Tract 4, Richland County, Ohio</t>
  </si>
  <si>
    <t>Census Tract 5, Richland County, Ohio</t>
  </si>
  <si>
    <t>Census Tract 6, Richland County, Ohio</t>
  </si>
  <si>
    <t>Census Tract 7, Richland County, Ohio</t>
  </si>
  <si>
    <t>Census Tract 8, Richland County, Ohio</t>
  </si>
  <si>
    <t>Census Tract 9, Richland County, Ohio</t>
  </si>
  <si>
    <t>Census Tract 10, Richland County, Ohio</t>
  </si>
  <si>
    <t>Census Tract 11, Richland County, Ohio</t>
  </si>
  <si>
    <t>Census Tract 12, Richland County, Ohio</t>
  </si>
  <si>
    <t>Census Tract 13, Richland County, Ohio</t>
  </si>
  <si>
    <t>Census Tract 14, Richland County, Ohio</t>
  </si>
  <si>
    <t>Census Tract 15, Richland County, Ohio</t>
  </si>
  <si>
    <t>Census Tract 16, Richland County, Ohio</t>
  </si>
  <si>
    <t>Census Tract 17, Richland County, Ohio</t>
  </si>
  <si>
    <t>Census Tract 18, Richland County, Ohio</t>
  </si>
  <si>
    <t>Census Tract 19, Richland County, Ohio</t>
  </si>
  <si>
    <t>Census Tract 20, Richland County, Ohio</t>
  </si>
  <si>
    <t>Census Tract 21.01, Richland County, Ohio</t>
  </si>
  <si>
    <t>Census Tract 21.02, Richland County, Ohio</t>
  </si>
  <si>
    <t>Census Tract 22, Richland County, Ohio</t>
  </si>
  <si>
    <t>Census Tract 23, Richland County, Ohio</t>
  </si>
  <si>
    <t>Census Tract 24, Richland County, Ohio</t>
  </si>
  <si>
    <t>Census Tract 25, Richland County, Ohio</t>
  </si>
  <si>
    <t>Census Tract 26, Richland County, Ohio</t>
  </si>
  <si>
    <t>Census Tract 27, Richland County, Ohio</t>
  </si>
  <si>
    <t>Census Tract 28, Richland County, Ohio</t>
  </si>
  <si>
    <t>Census Tract 29, Richland County, Ohio</t>
  </si>
  <si>
    <t>Census Tract 30.01, Richland County, Ohio</t>
  </si>
  <si>
    <t>Census Tract 30.02, Richland County, Ohio</t>
  </si>
  <si>
    <t>Census Tract 31, Richland County, Ohio</t>
  </si>
  <si>
    <t>Census Tract 9555, Ross County, Ohio</t>
  </si>
  <si>
    <t>Census Tract 9556.01, Ross County, Ohio</t>
  </si>
  <si>
    <t>Census Tract 9556.02, Ross County, Ohio</t>
  </si>
  <si>
    <t>Census Tract 9556.03, Ross County, Ohio</t>
  </si>
  <si>
    <t>Census Tract 9557, Ross County, Ohio</t>
  </si>
  <si>
    <t>Census Tract 9558, Ross County, Ohio</t>
  </si>
  <si>
    <t>Census Tract 9559, Ross County, Ohio</t>
  </si>
  <si>
    <t>Census Tract 9560, Ross County, Ohio</t>
  </si>
  <si>
    <t>Census Tract 9561, Ross County, Ohio</t>
  </si>
  <si>
    <t>Census Tract 9562, Ross County, Ohio</t>
  </si>
  <si>
    <t>Census Tract 9563, Ross County, Ohio</t>
  </si>
  <si>
    <t>Census Tract 9564, Ross County, Ohio</t>
  </si>
  <si>
    <t>Census Tract 9565, Ross County, Ohio</t>
  </si>
  <si>
    <t>Census Tract 9566, Ross County, Ohio</t>
  </si>
  <si>
    <t>Census Tract 9567, Ross County, Ohio</t>
  </si>
  <si>
    <t>Census Tract 9568, Ross County, Ohio</t>
  </si>
  <si>
    <t>Census Tract 9569, Ross County, Ohio</t>
  </si>
  <si>
    <t>Census Tract 9608, Sandusky County, Ohio</t>
  </si>
  <si>
    <t>Census Tract 9609, Sandusky County, Ohio</t>
  </si>
  <si>
    <t>Census Tract 9610, Sandusky County, Ohio</t>
  </si>
  <si>
    <t>Census Tract 9611, Sandusky County, Ohio</t>
  </si>
  <si>
    <t>Census Tract 9612, Sandusky County, Ohio</t>
  </si>
  <si>
    <t>Census Tract 9613, Sandusky County, Ohio</t>
  </si>
  <si>
    <t>Census Tract 9614, Sandusky County, Ohio</t>
  </si>
  <si>
    <t>Census Tract 9615, Sandusky County, Ohio</t>
  </si>
  <si>
    <t>Census Tract 9616, Sandusky County, Ohio</t>
  </si>
  <si>
    <t>Census Tract 9617, Sandusky County, Ohio</t>
  </si>
  <si>
    <t>Census Tract 9618, Sandusky County, Ohio</t>
  </si>
  <si>
    <t>Census Tract 9619, Sandusky County, Ohio</t>
  </si>
  <si>
    <t>Census Tract 9620, Sandusky County, Ohio</t>
  </si>
  <si>
    <t>Census Tract 9621, Sandusky County, Ohio</t>
  </si>
  <si>
    <t>Census Tract 9622, Sandusky County, Ohio</t>
  </si>
  <si>
    <t>Census Tract 21, Scioto County, Ohio</t>
  </si>
  <si>
    <t>Census Tract 22, Scioto County, Ohio</t>
  </si>
  <si>
    <t>Census Tract 23, Scioto County, Ohio</t>
  </si>
  <si>
    <t>Census Tract 24, Scioto County, Ohio</t>
  </si>
  <si>
    <t>Census Tract 25, Scioto County, Ohio</t>
  </si>
  <si>
    <t>Census Tract 26, Scioto County, Ohio</t>
  </si>
  <si>
    <t>Census Tract 27, Scioto County, Ohio</t>
  </si>
  <si>
    <t>Census Tract 28, Scioto County, Ohio</t>
  </si>
  <si>
    <t>Census Tract 29, Scioto County, Ohio</t>
  </si>
  <si>
    <t>Census Tract 30, Scioto County, Ohio</t>
  </si>
  <si>
    <t>Census Tract 31, Scioto County, Ohio</t>
  </si>
  <si>
    <t>Census Tract 32, Scioto County, Ohio</t>
  </si>
  <si>
    <t>Census Tract 33, Scioto County, Ohio</t>
  </si>
  <si>
    <t>Census Tract 34, Scioto County, Ohio</t>
  </si>
  <si>
    <t>Census Tract 35, Scioto County, Ohio</t>
  </si>
  <si>
    <t>Census Tract 36, Scioto County, Ohio</t>
  </si>
  <si>
    <t>Census Tract 37, Scioto County, Ohio</t>
  </si>
  <si>
    <t>Census Tract 38, Scioto County, Ohio</t>
  </si>
  <si>
    <t>Census Tract 39, Scioto County, Ohio</t>
  </si>
  <si>
    <t>Census Tract 40, Scioto County, Ohio</t>
  </si>
  <si>
    <t>Census Tract 9625, Seneca County, Ohio</t>
  </si>
  <si>
    <t>Census Tract 9626, Seneca County, Ohio</t>
  </si>
  <si>
    <t>Census Tract 9627, Seneca County, Ohio</t>
  </si>
  <si>
    <t>Census Tract 9628, Seneca County, Ohio</t>
  </si>
  <si>
    <t>Census Tract 9629, Seneca County, Ohio</t>
  </si>
  <si>
    <t>Census Tract 9630, Seneca County, Ohio</t>
  </si>
  <si>
    <t>Census Tract 9631, Seneca County, Ohio</t>
  </si>
  <si>
    <t>Census Tract 9632, Seneca County, Ohio</t>
  </si>
  <si>
    <t>Census Tract 9633, Seneca County, Ohio</t>
  </si>
  <si>
    <t>Census Tract 9634, Seneca County, Ohio</t>
  </si>
  <si>
    <t>Census Tract 9635, Seneca County, Ohio</t>
  </si>
  <si>
    <t>Census Tract 9636, Seneca County, Ohio</t>
  </si>
  <si>
    <t>Census Tract 9637, Seneca County, Ohio</t>
  </si>
  <si>
    <t>Census Tract 9638, Seneca County, Ohio</t>
  </si>
  <si>
    <t>Census Tract 9714, Shelby County, Ohio</t>
  </si>
  <si>
    <t>Census Tract 9715, Shelby County, Ohio</t>
  </si>
  <si>
    <t>Census Tract 9716, Shelby County, Ohio</t>
  </si>
  <si>
    <t>Census Tract 9717, Shelby County, Ohio</t>
  </si>
  <si>
    <t>Census Tract 9718, Shelby County, Ohio</t>
  </si>
  <si>
    <t>Census Tract 9719, Shelby County, Ohio</t>
  </si>
  <si>
    <t>Census Tract 9720, Shelby County, Ohio</t>
  </si>
  <si>
    <t>Census Tract 9721, Shelby County, Ohio</t>
  </si>
  <si>
    <t>Census Tract 9722, Shelby County, Ohio</t>
  </si>
  <si>
    <t>Census Tract 9723, Shelby County, Ohio</t>
  </si>
  <si>
    <t>Census Tract 7001, Stark County, Ohio</t>
  </si>
  <si>
    <t>Census Tract 7002, Stark County, Ohio</t>
  </si>
  <si>
    <t>Census Tract 7003, Stark County, Ohio</t>
  </si>
  <si>
    <t>Census Tract 7004, Stark County, Ohio</t>
  </si>
  <si>
    <t>Census Tract 7005, Stark County, Ohio</t>
  </si>
  <si>
    <t>Census Tract 7006, Stark County, Ohio</t>
  </si>
  <si>
    <t>Census Tract 7007, Stark County, Ohio</t>
  </si>
  <si>
    <t>Census Tract 7008, Stark County, Ohio</t>
  </si>
  <si>
    <t>Census Tract 7010, Stark County, Ohio</t>
  </si>
  <si>
    <t>Census Tract 7011, Stark County, Ohio</t>
  </si>
  <si>
    <t>Census Tract 7012, Stark County, Ohio</t>
  </si>
  <si>
    <t>Census Tract 7013, Stark County, Ohio</t>
  </si>
  <si>
    <t>Census Tract 7015, Stark County, Ohio</t>
  </si>
  <si>
    <t>Census Tract 7017, Stark County, Ohio</t>
  </si>
  <si>
    <t>Census Tract 7018, Stark County, Ohio</t>
  </si>
  <si>
    <t>Census Tract 7021, Stark County, Ohio</t>
  </si>
  <si>
    <t>Census Tract 7023, Stark County, Ohio</t>
  </si>
  <si>
    <t>Census Tract 7025, Stark County, Ohio</t>
  </si>
  <si>
    <t>Census Tract 7102, Stark County, Ohio</t>
  </si>
  <si>
    <t>Census Tract 7103, Stark County, Ohio</t>
  </si>
  <si>
    <t>Census Tract 7104, Stark County, Ohio</t>
  </si>
  <si>
    <t>Census Tract 7105, Stark County, Ohio</t>
  </si>
  <si>
    <t>Census Tract 7106, Stark County, Ohio</t>
  </si>
  <si>
    <t>Census Tract 7107, Stark County, Ohio</t>
  </si>
  <si>
    <t>Census Tract 7108, Stark County, Ohio</t>
  </si>
  <si>
    <t>Census Tract 7109, Stark County, Ohio</t>
  </si>
  <si>
    <t>Census Tract 7110, Stark County, Ohio</t>
  </si>
  <si>
    <t>Census Tract 7111.11, Stark County, Ohio</t>
  </si>
  <si>
    <t>Census Tract 7111.12, Stark County, Ohio</t>
  </si>
  <si>
    <t>Census Tract 7111.21, Stark County, Ohio</t>
  </si>
  <si>
    <t>Census Tract 7111.22, Stark County, Ohio</t>
  </si>
  <si>
    <t>Census Tract 7112.02, Stark County, Ohio</t>
  </si>
  <si>
    <t>Census Tract 7112.11, Stark County, Ohio</t>
  </si>
  <si>
    <t>Census Tract 7112.12, Stark County, Ohio</t>
  </si>
  <si>
    <t>Census Tract 7113.11, Stark County, Ohio</t>
  </si>
  <si>
    <t>Census Tract 7113.12, Stark County, Ohio</t>
  </si>
  <si>
    <t>Census Tract 7113.21, Stark County, Ohio</t>
  </si>
  <si>
    <t>Census Tract 7113.22, Stark County, Ohio</t>
  </si>
  <si>
    <t>Census Tract 7114.02, Stark County, Ohio</t>
  </si>
  <si>
    <t>Census Tract 7114.11, Stark County, Ohio</t>
  </si>
  <si>
    <t>Census Tract 7114.12, Stark County, Ohio</t>
  </si>
  <si>
    <t>Census Tract 7115.01, Stark County, Ohio</t>
  </si>
  <si>
    <t>Census Tract 7115.02, Stark County, Ohio</t>
  </si>
  <si>
    <t>Census Tract 7116, Stark County, Ohio</t>
  </si>
  <si>
    <t>Census Tract 7117, Stark County, Ohio</t>
  </si>
  <si>
    <t>Census Tract 7118, Stark County, Ohio</t>
  </si>
  <si>
    <t>Census Tract 7119, Stark County, Ohio</t>
  </si>
  <si>
    <t>Census Tract 7120, Stark County, Ohio</t>
  </si>
  <si>
    <t>Census Tract 7121.02, Stark County, Ohio</t>
  </si>
  <si>
    <t>Census Tract 7121.11, Stark County, Ohio</t>
  </si>
  <si>
    <t>Census Tract 7121.12, Stark County, Ohio</t>
  </si>
  <si>
    <t>Census Tract 7122.01, Stark County, Ohio</t>
  </si>
  <si>
    <t>Census Tract 7122.02, Stark County, Ohio</t>
  </si>
  <si>
    <t>Census Tract 7123, Stark County, Ohio</t>
  </si>
  <si>
    <t>Census Tract 7124, Stark County, Ohio</t>
  </si>
  <si>
    <t>Census Tract 7125, Stark County, Ohio</t>
  </si>
  <si>
    <t>Census Tract 7126.01, Stark County, Ohio</t>
  </si>
  <si>
    <t>Census Tract 7126.02, Stark County, Ohio</t>
  </si>
  <si>
    <t>Census Tract 7127, Stark County, Ohio</t>
  </si>
  <si>
    <t>Census Tract 7128, Stark County, Ohio</t>
  </si>
  <si>
    <t>Census Tract 7129, Stark County, Ohio</t>
  </si>
  <si>
    <t>Census Tract 7130, Stark County, Ohio</t>
  </si>
  <si>
    <t>Census Tract 7131, Stark County, Ohio</t>
  </si>
  <si>
    <t>Census Tract 7132.01, Stark County, Ohio</t>
  </si>
  <si>
    <t>Census Tract 7132.02, Stark County, Ohio</t>
  </si>
  <si>
    <t>Census Tract 7133, Stark County, Ohio</t>
  </si>
  <si>
    <t>Census Tract 7134.01, Stark County, Ohio</t>
  </si>
  <si>
    <t>Census Tract 7134.02, Stark County, Ohio</t>
  </si>
  <si>
    <t>Census Tract 7135.01, Stark County, Ohio</t>
  </si>
  <si>
    <t>Census Tract 7135.02, Stark County, Ohio</t>
  </si>
  <si>
    <t>Census Tract 7136, Stark County, Ohio</t>
  </si>
  <si>
    <t>Census Tract 7137, Stark County, Ohio</t>
  </si>
  <si>
    <t>Census Tract 7139, Stark County, Ohio</t>
  </si>
  <si>
    <t>Census Tract 7140, Stark County, Ohio</t>
  </si>
  <si>
    <t>Census Tract 7141, Stark County, Ohio</t>
  </si>
  <si>
    <t>Census Tract 7142, Stark County, Ohio</t>
  </si>
  <si>
    <t>Census Tract 7143.02, Stark County, Ohio</t>
  </si>
  <si>
    <t>Census Tract 7144, Stark County, Ohio</t>
  </si>
  <si>
    <t>Census Tract 7146, Stark County, Ohio</t>
  </si>
  <si>
    <t>Census Tract 7147.01, Stark County, Ohio</t>
  </si>
  <si>
    <t>Census Tract 7147.02, Stark County, Ohio</t>
  </si>
  <si>
    <t>Census Tract 7148.01, Stark County, Ohio</t>
  </si>
  <si>
    <t>Census Tract 7148.02, Stark County, Ohio</t>
  </si>
  <si>
    <t>Census Tract 7149.01, Stark County, Ohio</t>
  </si>
  <si>
    <t>Census Tract 7149.02, Stark County, Ohio</t>
  </si>
  <si>
    <t>Census Tract 7150, Stark County, Ohio</t>
  </si>
  <si>
    <t>Census Tract 5011, Summit County, Ohio</t>
  </si>
  <si>
    <t>Census Tract 5017, Summit County, Ohio</t>
  </si>
  <si>
    <t>Census Tract 5018, Summit County, Ohio</t>
  </si>
  <si>
    <t>Census Tract 5019, Summit County, Ohio</t>
  </si>
  <si>
    <t>Census Tract 5021.01, Summit County, Ohio</t>
  </si>
  <si>
    <t>Census Tract 5021.02, Summit County, Ohio</t>
  </si>
  <si>
    <t>Census Tract 5022, Summit County, Ohio</t>
  </si>
  <si>
    <t>Census Tract 5023, Summit County, Ohio</t>
  </si>
  <si>
    <t>Census Tract 5025, Summit County, Ohio</t>
  </si>
  <si>
    <t>Census Tract 5026, Summit County, Ohio</t>
  </si>
  <si>
    <t>Census Tract 5027, Summit County, Ohio</t>
  </si>
  <si>
    <t>Census Tract 5028, Summit County, Ohio</t>
  </si>
  <si>
    <t>Census Tract 5031, Summit County, Ohio</t>
  </si>
  <si>
    <t>Census Tract 5032, Summit County, Ohio</t>
  </si>
  <si>
    <t>Census Tract 5033, Summit County, Ohio</t>
  </si>
  <si>
    <t>Census Tract 5034, Summit County, Ohio</t>
  </si>
  <si>
    <t>Census Tract 5035, Summit County, Ohio</t>
  </si>
  <si>
    <t>Census Tract 5036, Summit County, Ohio</t>
  </si>
  <si>
    <t>Census Tract 5037.01, Summit County, Ohio</t>
  </si>
  <si>
    <t>Census Tract 5037.02, Summit County, Ohio</t>
  </si>
  <si>
    <t>Census Tract 5038, Summit County, Ohio</t>
  </si>
  <si>
    <t>Census Tract 5041, Summit County, Ohio</t>
  </si>
  <si>
    <t>Census Tract 5042, Summit County, Ohio</t>
  </si>
  <si>
    <t>Census Tract 5044, Summit County, Ohio</t>
  </si>
  <si>
    <t>Census Tract 5045, Summit County, Ohio</t>
  </si>
  <si>
    <t>Census Tract 5046, Summit County, Ohio</t>
  </si>
  <si>
    <t>Census Tract 5047, Summit County, Ohio</t>
  </si>
  <si>
    <t>Census Tract 5048, Summit County, Ohio</t>
  </si>
  <si>
    <t>Census Tract 5052, Summit County, Ohio</t>
  </si>
  <si>
    <t>Census Tract 5053, Summit County, Ohio</t>
  </si>
  <si>
    <t>Census Tract 5054, Summit County, Ohio</t>
  </si>
  <si>
    <t>Census Tract 5055, Summit County, Ohio</t>
  </si>
  <si>
    <t>Census Tract 5056, Summit County, Ohio</t>
  </si>
  <si>
    <t>Census Tract 5057, Summit County, Ohio</t>
  </si>
  <si>
    <t>Census Tract 5058, Summit County, Ohio</t>
  </si>
  <si>
    <t>Census Tract 5059, Summit County, Ohio</t>
  </si>
  <si>
    <t>Census Tract 5061, Summit County, Ohio</t>
  </si>
  <si>
    <t>Census Tract 5062, Summit County, Ohio</t>
  </si>
  <si>
    <t>Census Tract 5064, Summit County, Ohio</t>
  </si>
  <si>
    <t>Census Tract 5065, Summit County, Ohio</t>
  </si>
  <si>
    <t>Census Tract 5066, Summit County, Ohio</t>
  </si>
  <si>
    <t>Census Tract 5067, Summit County, Ohio</t>
  </si>
  <si>
    <t>Census Tract 5068, Summit County, Ohio</t>
  </si>
  <si>
    <t>Census Tract 5071.01, Summit County, Ohio</t>
  </si>
  <si>
    <t>Census Tract 5071.02, Summit County, Ohio</t>
  </si>
  <si>
    <t>Census Tract 5072.01, Summit County, Ohio</t>
  </si>
  <si>
    <t>Census Tract 5072.02, Summit County, Ohio</t>
  </si>
  <si>
    <t>Census Tract 5072.03, Summit County, Ohio</t>
  </si>
  <si>
    <t>Census Tract 5073, Summit County, Ohio</t>
  </si>
  <si>
    <t>Census Tract 5074, Summit County, Ohio</t>
  </si>
  <si>
    <t>Census Tract 5075, Summit County, Ohio</t>
  </si>
  <si>
    <t>Census Tract 5076, Summit County, Ohio</t>
  </si>
  <si>
    <t>Census Tract 5080, Summit County, Ohio</t>
  </si>
  <si>
    <t>Census Tract 5083.01, Summit County, Ohio</t>
  </si>
  <si>
    <t>Census Tract 5083.99, Summit County, Ohio</t>
  </si>
  <si>
    <t>Census Tract 5086, Summit County, Ohio</t>
  </si>
  <si>
    <t>Census Tract 5088, Summit County, Ohio</t>
  </si>
  <si>
    <t>Census Tract 5089, Summit County, Ohio</t>
  </si>
  <si>
    <t>Census Tract 5090, Summit County, Ohio</t>
  </si>
  <si>
    <t>Census Tract 5101, Summit County, Ohio</t>
  </si>
  <si>
    <t>Census Tract 5102, Summit County, Ohio</t>
  </si>
  <si>
    <t>Census Tract 5103.01, Summit County, Ohio</t>
  </si>
  <si>
    <t>Census Tract 5103.02, Summit County, Ohio</t>
  </si>
  <si>
    <t>Census Tract 5104, Summit County, Ohio</t>
  </si>
  <si>
    <t>Census Tract 5105, Summit County, Ohio</t>
  </si>
  <si>
    <t>Census Tract 5201.03, Summit County, Ohio</t>
  </si>
  <si>
    <t>Census Tract 5201.04, Summit County, Ohio</t>
  </si>
  <si>
    <t>Census Tract 5201.05, Summit County, Ohio</t>
  </si>
  <si>
    <t>Census Tract 5201.06, Summit County, Ohio</t>
  </si>
  <si>
    <t>Census Tract 5202.01, Summit County, Ohio</t>
  </si>
  <si>
    <t>Census Tract 5202.02, Summit County, Ohio</t>
  </si>
  <si>
    <t>Census Tract 5203.01, Summit County, Ohio</t>
  </si>
  <si>
    <t>Census Tract 5203.02, Summit County, Ohio</t>
  </si>
  <si>
    <t>Census Tract 5204, Summit County, Ohio</t>
  </si>
  <si>
    <t>Census Tract 5205, Summit County, Ohio</t>
  </si>
  <si>
    <t>Census Tract 5206, Summit County, Ohio</t>
  </si>
  <si>
    <t>Census Tract 5301.01, Summit County, Ohio</t>
  </si>
  <si>
    <t>Census Tract 5301.03, Summit County, Ohio</t>
  </si>
  <si>
    <t>Census Tract 5301.04, Summit County, Ohio</t>
  </si>
  <si>
    <t>Census Tract 5301.05, Summit County, Ohio</t>
  </si>
  <si>
    <t>Census Tract 5301.08, Summit County, Ohio</t>
  </si>
  <si>
    <t>Census Tract 5304.01, Summit County, Ohio</t>
  </si>
  <si>
    <t>Census Tract 5304.02, Summit County, Ohio</t>
  </si>
  <si>
    <t>Census Tract 5305.01, Summit County, Ohio</t>
  </si>
  <si>
    <t>Census Tract 5305.02, Summit County, Ohio</t>
  </si>
  <si>
    <t>Census Tract 5306.03, Summit County, Ohio</t>
  </si>
  <si>
    <t>Census Tract 5306.04, Summit County, Ohio</t>
  </si>
  <si>
    <t>Census Tract 5306.05, Summit County, Ohio</t>
  </si>
  <si>
    <t>Census Tract 5306.06, Summit County, Ohio</t>
  </si>
  <si>
    <t>Census Tract 5307, Summit County, Ohio</t>
  </si>
  <si>
    <t>Census Tract 5308, Summit County, Ohio</t>
  </si>
  <si>
    <t>Census Tract 5309.01, Summit County, Ohio</t>
  </si>
  <si>
    <t>Census Tract 5309.02, Summit County, Ohio</t>
  </si>
  <si>
    <t>Census Tract 5309.03, Summit County, Ohio</t>
  </si>
  <si>
    <t>Census Tract 5310.01, Summit County, Ohio</t>
  </si>
  <si>
    <t>Census Tract 5310.02, Summit County, Ohio</t>
  </si>
  <si>
    <t>Census Tract 5311.01, Summit County, Ohio</t>
  </si>
  <si>
    <t>Census Tract 5311.02, Summit County, Ohio</t>
  </si>
  <si>
    <t>Census Tract 5311.03, Summit County, Ohio</t>
  </si>
  <si>
    <t>Census Tract 5314.01, Summit County, Ohio</t>
  </si>
  <si>
    <t>Census Tract 5314.05, Summit County, Ohio</t>
  </si>
  <si>
    <t>Census Tract 5315, Summit County, Ohio</t>
  </si>
  <si>
    <t>Census Tract 5316.01, Summit County, Ohio</t>
  </si>
  <si>
    <t>Census Tract 5316.02, Summit County, Ohio</t>
  </si>
  <si>
    <t>Census Tract 5317.01, Summit County, Ohio</t>
  </si>
  <si>
    <t>Census Tract 5317.02, Summit County, Ohio</t>
  </si>
  <si>
    <t>Census Tract 5318.01, Summit County, Ohio</t>
  </si>
  <si>
    <t>Census Tract 5318.02, Summit County, Ohio</t>
  </si>
  <si>
    <t>Census Tract 5320.01, Summit County, Ohio</t>
  </si>
  <si>
    <t>Census Tract 5320.03, Summit County, Ohio</t>
  </si>
  <si>
    <t>Census Tract 5320.04, Summit County, Ohio</t>
  </si>
  <si>
    <t>Census Tract 5322.02, Summit County, Ohio</t>
  </si>
  <si>
    <t>Census Tract 5323.01, Summit County, Ohio</t>
  </si>
  <si>
    <t>Census Tract 5323.02, Summit County, Ohio</t>
  </si>
  <si>
    <t>Census Tract 5325.01, Summit County, Ohio</t>
  </si>
  <si>
    <t>Census Tract 5325.02, Summit County, Ohio</t>
  </si>
  <si>
    <t>Census Tract 5326, Summit County, Ohio</t>
  </si>
  <si>
    <t>Census Tract 5327.01, Summit County, Ohio</t>
  </si>
  <si>
    <t>Census Tract 5327.02, Summit County, Ohio</t>
  </si>
  <si>
    <t>Census Tract 5327.03, Summit County, Ohio</t>
  </si>
  <si>
    <t>Census Tract 5327.05, Summit County, Ohio</t>
  </si>
  <si>
    <t>Census Tract 5327.06, Summit County, Ohio</t>
  </si>
  <si>
    <t>Census Tract 5327.08, Summit County, Ohio</t>
  </si>
  <si>
    <t>Census Tract 5329.01, Summit County, Ohio</t>
  </si>
  <si>
    <t>Census Tract 5329.02, Summit County, Ohio</t>
  </si>
  <si>
    <t>Census Tract 5329.99, Summit County, Ohio</t>
  </si>
  <si>
    <t>Census Tract 5330, Summit County, Ohio</t>
  </si>
  <si>
    <t>Census Tract 5331.01, Summit County, Ohio</t>
  </si>
  <si>
    <t>Census Tract 5331.02, Summit County, Ohio</t>
  </si>
  <si>
    <t>Census Tract 5332, Summit County, Ohio</t>
  </si>
  <si>
    <t>Census Tract 5334, Summit County, Ohio</t>
  </si>
  <si>
    <t>Census Tract 5335.01, Summit County, Ohio</t>
  </si>
  <si>
    <t>Census Tract 5335.02, Summit County, Ohio</t>
  </si>
  <si>
    <t>Census Tract 5340, Summit County, Ohio</t>
  </si>
  <si>
    <t>Census Tract 5341, Summit County, Ohio</t>
  </si>
  <si>
    <t>Census Tract 9203, Trumbull County, Ohio</t>
  </si>
  <si>
    <t>Census Tract 9204, Trumbull County, Ohio</t>
  </si>
  <si>
    <t>Census Tract 9205, Trumbull County, Ohio</t>
  </si>
  <si>
    <t>Census Tract 9206, Trumbull County, Ohio</t>
  </si>
  <si>
    <t>Census Tract 9207, Trumbull County, Ohio</t>
  </si>
  <si>
    <t>Census Tract 9208, Trumbull County, Ohio</t>
  </si>
  <si>
    <t>Census Tract 9209, Trumbull County, Ohio</t>
  </si>
  <si>
    <t>Census Tract 9210, Trumbull County, Ohio</t>
  </si>
  <si>
    <t>Census Tract 9211, Trumbull County, Ohio</t>
  </si>
  <si>
    <t>Census Tract 9212, Trumbull County, Ohio</t>
  </si>
  <si>
    <t>Census Tract 9213, Trumbull County, Ohio</t>
  </si>
  <si>
    <t>Census Tract 9214, Trumbull County, Ohio</t>
  </si>
  <si>
    <t>Census Tract 9215, Trumbull County, Ohio</t>
  </si>
  <si>
    <t>Census Tract 9216, Trumbull County, Ohio</t>
  </si>
  <si>
    <t>Census Tract 9301.01, Trumbull County, Ohio</t>
  </si>
  <si>
    <t>Census Tract 9301.02, Trumbull County, Ohio</t>
  </si>
  <si>
    <t>Census Tract 9302, Trumbull County, Ohio</t>
  </si>
  <si>
    <t>Census Tract 9303, Trumbull County, Ohio</t>
  </si>
  <si>
    <t>Census Tract 9304, Trumbull County, Ohio</t>
  </si>
  <si>
    <t>Census Tract 9305, Trumbull County, Ohio</t>
  </si>
  <si>
    <t>Census Tract 9306, Trumbull County, Ohio</t>
  </si>
  <si>
    <t>Census Tract 9307, Trumbull County, Ohio</t>
  </si>
  <si>
    <t>Census Tract 9308, Trumbull County, Ohio</t>
  </si>
  <si>
    <t>Census Tract 9309, Trumbull County, Ohio</t>
  </si>
  <si>
    <t>Census Tract 9310, Trumbull County, Ohio</t>
  </si>
  <si>
    <t>Census Tract 9311, Trumbull County, Ohio</t>
  </si>
  <si>
    <t>Census Tract 9312, Trumbull County, Ohio</t>
  </si>
  <si>
    <t>Census Tract 9313, Trumbull County, Ohio</t>
  </si>
  <si>
    <t>Census Tract 9314, Trumbull County, Ohio</t>
  </si>
  <si>
    <t>Census Tract 9315, Trumbull County, Ohio</t>
  </si>
  <si>
    <t>Census Tract 9316.01, Trumbull County, Ohio</t>
  </si>
  <si>
    <t>Census Tract 9316.02, Trumbull County, Ohio</t>
  </si>
  <si>
    <t>Census Tract 9317, Trumbull County, Ohio</t>
  </si>
  <si>
    <t>Census Tract 9319, Trumbull County, Ohio</t>
  </si>
  <si>
    <t>Census Tract 9320, Trumbull County, Ohio</t>
  </si>
  <si>
    <t>Census Tract 9322, Trumbull County, Ohio</t>
  </si>
  <si>
    <t>Census Tract 9323, Trumbull County, Ohio</t>
  </si>
  <si>
    <t>Census Tract 9325, Trumbull County, Ohio</t>
  </si>
  <si>
    <t>Census Tract 9326, Trumbull County, Ohio</t>
  </si>
  <si>
    <t>Census Tract 9327.01, Trumbull County, Ohio</t>
  </si>
  <si>
    <t>Census Tract 9327.02, Trumbull County, Ohio</t>
  </si>
  <si>
    <t>Census Tract 9328.01, Trumbull County, Ohio</t>
  </si>
  <si>
    <t>Census Tract 9328.02, Trumbull County, Ohio</t>
  </si>
  <si>
    <t>Census Tract 9329, Trumbull County, Ohio</t>
  </si>
  <si>
    <t>Census Tract 9330.01, Trumbull County, Ohio</t>
  </si>
  <si>
    <t>Census Tract 9330.02, Trumbull County, Ohio</t>
  </si>
  <si>
    <t>Census Tract 9331, Trumbull County, Ohio</t>
  </si>
  <si>
    <t>Census Tract 9333.01, Trumbull County, Ohio</t>
  </si>
  <si>
    <t>Census Tract 9333.02, Trumbull County, Ohio</t>
  </si>
  <si>
    <t>Census Tract 9334, Trumbull County, Ohio</t>
  </si>
  <si>
    <t>Census Tract 9335, Trumbull County, Ohio</t>
  </si>
  <si>
    <t>Census Tract 9336, Trumbull County, Ohio</t>
  </si>
  <si>
    <t>Census Tract 9337, Trumbull County, Ohio</t>
  </si>
  <si>
    <t>Census Tract 9338, Trumbull County, Ohio</t>
  </si>
  <si>
    <t>Census Tract 9339, Trumbull County, Ohio</t>
  </si>
  <si>
    <t>Census Tract 201, Tuscarawas County, Ohio</t>
  </si>
  <si>
    <t>Census Tract 202, Tuscarawas County, Ohio</t>
  </si>
  <si>
    <t>Census Tract 203, Tuscarawas County, Ohio</t>
  </si>
  <si>
    <t>Census Tract 204, Tuscarawas County, Ohio</t>
  </si>
  <si>
    <t>Census Tract 205, Tuscarawas County, Ohio</t>
  </si>
  <si>
    <t>Census Tract 206, Tuscarawas County, Ohio</t>
  </si>
  <si>
    <t>Census Tract 207, Tuscarawas County, Ohio</t>
  </si>
  <si>
    <t>Census Tract 208, Tuscarawas County, Ohio</t>
  </si>
  <si>
    <t>Census Tract 209, Tuscarawas County, Ohio</t>
  </si>
  <si>
    <t>Census Tract 210, Tuscarawas County, Ohio</t>
  </si>
  <si>
    <t>Census Tract 211, Tuscarawas County, Ohio</t>
  </si>
  <si>
    <t>Census Tract 212, Tuscarawas County, Ohio</t>
  </si>
  <si>
    <t>Census Tract 213, Tuscarawas County, Ohio</t>
  </si>
  <si>
    <t>Census Tract 214, Tuscarawas County, Ohio</t>
  </si>
  <si>
    <t>Census Tract 215, Tuscarawas County, Ohio</t>
  </si>
  <si>
    <t>Census Tract 216, Tuscarawas County, Ohio</t>
  </si>
  <si>
    <t>Census Tract 217, Tuscarawas County, Ohio</t>
  </si>
  <si>
    <t>Census Tract 218, Tuscarawas County, Ohio</t>
  </si>
  <si>
    <t>Census Tract 219, Tuscarawas County, Ohio</t>
  </si>
  <si>
    <t>Census Tract 220.01, Tuscarawas County, Ohio</t>
  </si>
  <si>
    <t>Census Tract 220.02, Tuscarawas County, Ohio</t>
  </si>
  <si>
    <t>Census Tract 501, Union County, Ohio</t>
  </si>
  <si>
    <t>Census Tract 502, Union County, Ohio</t>
  </si>
  <si>
    <t>Census Tract 503.01, Union County, Ohio</t>
  </si>
  <si>
    <t>Census Tract 503.03, Union County, Ohio</t>
  </si>
  <si>
    <t>Census Tract 503.04, Union County, Ohio</t>
  </si>
  <si>
    <t>Census Tract 504, Union County, Ohio</t>
  </si>
  <si>
    <t>Census Tract 505, Union County, Ohio</t>
  </si>
  <si>
    <t>Census Tract 506.01, Union County, Ohio</t>
  </si>
  <si>
    <t>Census Tract 506.02, Union County, Ohio</t>
  </si>
  <si>
    <t>Census Tract 507, Union County, Ohio</t>
  </si>
  <si>
    <t>Census Tract 201, Van Wert County, Ohio</t>
  </si>
  <si>
    <t>Census Tract 202, Van Wert County, Ohio</t>
  </si>
  <si>
    <t>Census Tract 203, Van Wert County, Ohio</t>
  </si>
  <si>
    <t>Census Tract 204, Van Wert County, Ohio</t>
  </si>
  <si>
    <t>Census Tract 205, Van Wert County, Ohio</t>
  </si>
  <si>
    <t>Census Tract 206, Van Wert County, Ohio</t>
  </si>
  <si>
    <t>Census Tract 207, Van Wert County, Ohio</t>
  </si>
  <si>
    <t>Census Tract 208, Van Wert County, Ohio</t>
  </si>
  <si>
    <t>Census Tract 209, Van Wert County, Ohio</t>
  </si>
  <si>
    <t>Census Tract 9530, Vinton County, Ohio</t>
  </si>
  <si>
    <t>Census Tract 9531, Vinton County, Ohio</t>
  </si>
  <si>
    <t>Census Tract 9532, Vinton County, Ohio</t>
  </si>
  <si>
    <t>Census Tract 301.01, Warren County, Ohio</t>
  </si>
  <si>
    <t>Census Tract 301.02, Warren County, Ohio</t>
  </si>
  <si>
    <t>Census Tract 302, Warren County, Ohio</t>
  </si>
  <si>
    <t>Census Tract 305.01, Warren County, Ohio</t>
  </si>
  <si>
    <t>Census Tract 305.03, Warren County, Ohio</t>
  </si>
  <si>
    <t>Census Tract 305.04, Warren County, Ohio</t>
  </si>
  <si>
    <t>Census Tract 306, Warren County, Ohio</t>
  </si>
  <si>
    <t>Census Tract 307, Warren County, Ohio</t>
  </si>
  <si>
    <t>Census Tract 308, Warren County, Ohio</t>
  </si>
  <si>
    <t>Census Tract 309, Warren County, Ohio</t>
  </si>
  <si>
    <t>Census Tract 310, Warren County, Ohio</t>
  </si>
  <si>
    <t>Census Tract 311, Warren County, Ohio</t>
  </si>
  <si>
    <t>Census Tract 312, Warren County, Ohio</t>
  </si>
  <si>
    <t>Census Tract 313, Warren County, Ohio</t>
  </si>
  <si>
    <t>Census Tract 314, Warren County, Ohio</t>
  </si>
  <si>
    <t>Census Tract 315, Warren County, Ohio</t>
  </si>
  <si>
    <t>Census Tract 316, Warren County, Ohio</t>
  </si>
  <si>
    <t>Census Tract 317, Warren County, Ohio</t>
  </si>
  <si>
    <t>Census Tract 319.02, Warren County, Ohio</t>
  </si>
  <si>
    <t>Census Tract 319.03, Warren County, Ohio</t>
  </si>
  <si>
    <t>Census Tract 319.04, Warren County, Ohio</t>
  </si>
  <si>
    <t>Census Tract 320.03, Warren County, Ohio</t>
  </si>
  <si>
    <t>Census Tract 320.04, Warren County, Ohio</t>
  </si>
  <si>
    <t>Census Tract 320.05, Warren County, Ohio</t>
  </si>
  <si>
    <t>Census Tract 320.06, Warren County, Ohio</t>
  </si>
  <si>
    <t>Census Tract 320.07, Warren County, Ohio</t>
  </si>
  <si>
    <t>Census Tract 321, Warren County, Ohio</t>
  </si>
  <si>
    <t>Census Tract 322.01, Warren County, Ohio</t>
  </si>
  <si>
    <t>Census Tract 322.02, Warren County, Ohio</t>
  </si>
  <si>
    <t>Census Tract 323, Warren County, Ohio</t>
  </si>
  <si>
    <t>Census Tract 324, Warren County, Ohio</t>
  </si>
  <si>
    <t>Census Tract 325.01, Warren County, Ohio</t>
  </si>
  <si>
    <t>Census Tract 325.02, Warren County, Ohio</t>
  </si>
  <si>
    <t>Census Tract 201.01, Washington County, Ohio</t>
  </si>
  <si>
    <t>Census Tract 201.02, Washington County, Ohio</t>
  </si>
  <si>
    <t>Census Tract 202, Washington County, Ohio</t>
  </si>
  <si>
    <t>Census Tract 203, Washington County, Ohio</t>
  </si>
  <si>
    <t>Census Tract 204, Washington County, Ohio</t>
  </si>
  <si>
    <t>Census Tract 205, Washington County, Ohio</t>
  </si>
  <si>
    <t>Census Tract 208, Washington County, Ohio</t>
  </si>
  <si>
    <t>Census Tract 209, Washington County, Ohio</t>
  </si>
  <si>
    <t>Census Tract 210, Washington County, Ohio</t>
  </si>
  <si>
    <t>Census Tract 211, Washington County, Ohio</t>
  </si>
  <si>
    <t>Census Tract 212, Washington County, Ohio</t>
  </si>
  <si>
    <t>Census Tract 213, Washington County, Ohio</t>
  </si>
  <si>
    <t>Census Tract 214, Washington County, Ohio</t>
  </si>
  <si>
    <t>Census Tract 215, Washington County, Ohio</t>
  </si>
  <si>
    <t>Census Tract 216, Washington County, Ohio</t>
  </si>
  <si>
    <t>Census Tract 217, Washington County, Ohio</t>
  </si>
  <si>
    <t>Census Tract 1, Wayne County, Ohio</t>
  </si>
  <si>
    <t>Census Tract 2, Wayne County, Ohio</t>
  </si>
  <si>
    <t>Census Tract 3, Wayne County, Ohio</t>
  </si>
  <si>
    <t>Census Tract 5, Wayne County, Ohio</t>
  </si>
  <si>
    <t>Census Tract 6, Wayne County, Ohio</t>
  </si>
  <si>
    <t>Census Tract 7, Wayne County, Ohio</t>
  </si>
  <si>
    <t>Census Tract 8, Wayne County, Ohio</t>
  </si>
  <si>
    <t>Census Tract 9, Wayne County, Ohio</t>
  </si>
  <si>
    <t>Census Tract 10, Wayne County, Ohio</t>
  </si>
  <si>
    <t>Census Tract 11, Wayne County, Ohio</t>
  </si>
  <si>
    <t>Census Tract 12, Wayne County, Ohio</t>
  </si>
  <si>
    <t>Census Tract 13, Wayne County, Ohio</t>
  </si>
  <si>
    <t>Census Tract 14, Wayne County, Ohio</t>
  </si>
  <si>
    <t>Census Tract 17, Wayne County, Ohio</t>
  </si>
  <si>
    <t>Census Tract 18, Wayne County, Ohio</t>
  </si>
  <si>
    <t>Census Tract 19, Wayne County, Ohio</t>
  </si>
  <si>
    <t>Census Tract 20, Wayne County, Ohio</t>
  </si>
  <si>
    <t>Census Tract 21, Wayne County, Ohio</t>
  </si>
  <si>
    <t>Census Tract 22, Wayne County, Ohio</t>
  </si>
  <si>
    <t>Census Tract 23, Wayne County, Ohio</t>
  </si>
  <si>
    <t>Census Tract 24, Wayne County, Ohio</t>
  </si>
  <si>
    <t>Census Tract 25, Wayne County, Ohio</t>
  </si>
  <si>
    <t>Census Tract 29.01, Wayne County, Ohio</t>
  </si>
  <si>
    <t>Census Tract 29.02, Wayne County, Ohio</t>
  </si>
  <si>
    <t>Census Tract 30, Wayne County, Ohio</t>
  </si>
  <si>
    <t>Census Tract 31, Wayne County, Ohio</t>
  </si>
  <si>
    <t>Census Tract 32, Wayne County, Ohio</t>
  </si>
  <si>
    <t>Census Tract 33, Wayne County, Ohio</t>
  </si>
  <si>
    <t>Census Tract 34, Wayne County, Ohio</t>
  </si>
  <si>
    <t>Census Tract 35, Wayne County, Ohio</t>
  </si>
  <si>
    <t>Census Tract 37, Wayne County, Ohio</t>
  </si>
  <si>
    <t>Census Tract 9800, Wayne County, Ohio</t>
  </si>
  <si>
    <t>Census Tract 9501, Williams County, Ohio</t>
  </si>
  <si>
    <t>Census Tract 9502, Williams County, Ohio</t>
  </si>
  <si>
    <t>Census Tract 9503, Williams County, Ohio</t>
  </si>
  <si>
    <t>Census Tract 9504, Williams County, Ohio</t>
  </si>
  <si>
    <t>Census Tract 9505, Williams County, Ohio</t>
  </si>
  <si>
    <t>Census Tract 9506, Williams County, Ohio</t>
  </si>
  <si>
    <t>Census Tract 9507, Williams County, Ohio</t>
  </si>
  <si>
    <t>Census Tract 9508, Williams County, Ohio</t>
  </si>
  <si>
    <t>Census Tract 9509, Williams County, Ohio</t>
  </si>
  <si>
    <t>Census Tract 201, Wood County, Ohio</t>
  </si>
  <si>
    <t>Census Tract 202, Wood County, Ohio</t>
  </si>
  <si>
    <t>Census Tract 203, Wood County, Ohio</t>
  </si>
  <si>
    <t>Census Tract 204.01, Wood County, Ohio</t>
  </si>
  <si>
    <t>Census Tract 204.02, Wood County, Ohio</t>
  </si>
  <si>
    <t>Census Tract 205, Wood County, Ohio</t>
  </si>
  <si>
    <t>Census Tract 206.01, Wood County, Ohio</t>
  </si>
  <si>
    <t>Census Tract 206.02, Wood County, Ohio</t>
  </si>
  <si>
    <t>Census Tract 207, Wood County, Ohio</t>
  </si>
  <si>
    <t>Census Tract 208, Wood County, Ohio</t>
  </si>
  <si>
    <t>Census Tract 209, Wood County, Ohio</t>
  </si>
  <si>
    <t>Census Tract 210, Wood County, Ohio</t>
  </si>
  <si>
    <t>Census Tract 211, Wood County, Ohio</t>
  </si>
  <si>
    <t>Census Tract 212, Wood County, Ohio</t>
  </si>
  <si>
    <t>Census Tract 213, Wood County, Ohio</t>
  </si>
  <si>
    <t>Census Tract 214, Wood County, Ohio</t>
  </si>
  <si>
    <t>Census Tract 215, Wood County, Ohio</t>
  </si>
  <si>
    <t>Census Tract 216, Wood County, Ohio</t>
  </si>
  <si>
    <t>Census Tract 217.01, Wood County, Ohio</t>
  </si>
  <si>
    <t>Census Tract 217.02, Wood County, Ohio</t>
  </si>
  <si>
    <t>Census Tract 218, Wood County, Ohio</t>
  </si>
  <si>
    <t>Census Tract 219.01, Wood County, Ohio</t>
  </si>
  <si>
    <t>Census Tract 219.02, Wood County, Ohio</t>
  </si>
  <si>
    <t>Census Tract 221, Wood County, Ohio</t>
  </si>
  <si>
    <t>Census Tract 222, Wood County, Ohio</t>
  </si>
  <si>
    <t>Census Tract 223, Wood County, Ohio</t>
  </si>
  <si>
    <t>Census Tract 224, Wood County, Ohio</t>
  </si>
  <si>
    <t>Census Tract 225, Wood County, Ohio</t>
  </si>
  <si>
    <t>Census Tract 9380, Wyandot County, Ohio</t>
  </si>
  <si>
    <t>Census Tract 9381, Wyandot County, Ohio</t>
  </si>
  <si>
    <t>Census Tract 9382, Wyandot County, Ohio</t>
  </si>
  <si>
    <t>Census Tract 9383, Wyandot County, Ohio</t>
  </si>
  <si>
    <t>Census Tract 9384, Wyandot County, Ohio</t>
  </si>
  <si>
    <t>Census Tract 9385, Wyandot County, Ohio</t>
  </si>
  <si>
    <t>2010 Census Tract</t>
  </si>
  <si>
    <t>Federal Historic Tax Credit Equity</t>
  </si>
  <si>
    <t>Lender, Grantor, or Equity Provider</t>
  </si>
  <si>
    <t>Permanent Funding Source</t>
  </si>
  <si>
    <t>Construction Funding Source</t>
  </si>
  <si>
    <t>Non-LIHTC</t>
  </si>
  <si>
    <t>LIHTC Units - Rent Limits</t>
  </si>
  <si>
    <t>LIHTC Units - Income Limits</t>
  </si>
  <si>
    <t>LIHTC</t>
  </si>
  <si>
    <t>% LIHTC Units Affordable to ELI</t>
  </si>
  <si>
    <t>Describe Any Non-LIHTC units or other unique conditions that affect affordability.</t>
  </si>
  <si>
    <t>2023 Difficult Development Areas (DDAs), by ZCTA</t>
  </si>
  <si>
    <t>2023 Qualified Census Tract (QCT)?</t>
  </si>
  <si>
    <t>2023 Difficult Development Area (DDA)?</t>
  </si>
  <si>
    <t>2023 QCT or DDA?</t>
  </si>
  <si>
    <t>2023 Multifamily Tax Subsidy Program (MTSP) 50% AMI Income Limits, by Number of Persons in Household</t>
  </si>
  <si>
    <t>Autocalculates based on info to left</t>
  </si>
  <si>
    <t xml:space="preserve">LIHTC Application Fee </t>
  </si>
  <si>
    <t xml:space="preserve">LIHTC Reservation Fee </t>
  </si>
  <si>
    <r>
      <t xml:space="preserve">4% LIHTC Only AHFA </t>
    </r>
    <r>
      <rPr>
        <i/>
        <sz val="12"/>
        <color theme="4"/>
        <rFont val="Century Gothic"/>
        <family val="2"/>
      </rPr>
      <t>Release Date 06/06/2023</t>
    </r>
  </si>
  <si>
    <r>
      <t xml:space="preserve">Project Ownership Entity </t>
    </r>
    <r>
      <rPr>
        <b/>
        <i/>
        <sz val="14"/>
        <color theme="5"/>
        <rFont val="Century Gothic"/>
        <family val="2"/>
      </rPr>
      <t>(Limited Partnership/LLC)</t>
    </r>
  </si>
  <si>
    <r>
      <rPr>
        <b/>
        <sz val="10"/>
        <color theme="1"/>
        <rFont val="Arial"/>
        <family val="2"/>
        <scheme val="minor"/>
      </rPr>
      <t>Majority</t>
    </r>
    <r>
      <rPr>
        <sz val="10"/>
        <color theme="1"/>
        <rFont val="Arial"/>
        <family val="2"/>
        <scheme val="minor"/>
      </rPr>
      <t xml:space="preserve"> GP or MM</t>
    </r>
  </si>
  <si>
    <t>Minority GP/MM Entity #1</t>
  </si>
  <si>
    <t>Minority GP/MM Entity #2</t>
  </si>
  <si>
    <t>Majority GP/MM Entity</t>
  </si>
  <si>
    <t>General Partner(s) or Managing Member(s) of Project Ownership Entity</t>
  </si>
  <si>
    <t>% of GP or MM</t>
  </si>
  <si>
    <t>Limited Partner(s) or Investor Member(s) of Project Ownership Entity</t>
  </si>
  <si>
    <t>Majority LP/IM Entity</t>
  </si>
  <si>
    <r>
      <rPr>
        <b/>
        <sz val="10"/>
        <color theme="1"/>
        <rFont val="Arial"/>
        <family val="2"/>
        <scheme val="minor"/>
      </rPr>
      <t>Majority</t>
    </r>
    <r>
      <rPr>
        <sz val="10"/>
        <color theme="1"/>
        <rFont val="Arial"/>
        <family val="2"/>
        <scheme val="minor"/>
      </rPr>
      <t xml:space="preserve"> LP or IM</t>
    </r>
  </si>
  <si>
    <r>
      <rPr>
        <b/>
        <sz val="10"/>
        <color theme="1"/>
        <rFont val="Arial"/>
        <family val="2"/>
        <scheme val="minor"/>
      </rPr>
      <t>Minority</t>
    </r>
    <r>
      <rPr>
        <sz val="10"/>
        <color theme="1"/>
        <rFont val="Arial"/>
        <family val="2"/>
        <scheme val="minor"/>
      </rPr>
      <t xml:space="preserve"> LP or IM</t>
    </r>
  </si>
  <si>
    <t>% of LP or IM</t>
  </si>
  <si>
    <r>
      <rPr>
        <b/>
        <sz val="11"/>
        <color theme="1"/>
        <rFont val="Arial"/>
        <family val="2"/>
        <scheme val="minor"/>
      </rPr>
      <t>Minority</t>
    </r>
    <r>
      <rPr>
        <sz val="11"/>
        <color theme="1"/>
        <rFont val="Arial"/>
        <family val="2"/>
        <scheme val="minor"/>
      </rPr>
      <t xml:space="preserve"> GP or MM #1</t>
    </r>
  </si>
  <si>
    <r>
      <rPr>
        <b/>
        <sz val="11"/>
        <color theme="1"/>
        <rFont val="Arial"/>
        <family val="2"/>
        <scheme val="minor"/>
      </rPr>
      <t>Minority</t>
    </r>
    <r>
      <rPr>
        <sz val="11"/>
        <color theme="1"/>
        <rFont val="Arial"/>
        <family val="2"/>
        <scheme val="minor"/>
      </rPr>
      <t xml:space="preserve"> GP or MM #2</t>
    </r>
  </si>
  <si>
    <t>General Partnership/LLC: Majority GP/MM</t>
  </si>
  <si>
    <t>General Partnership/LLC: Minority GP/MM #1</t>
  </si>
  <si>
    <t>General Partnership/LLC: Minority GP/MM #2</t>
  </si>
  <si>
    <t>Majority GP/MM</t>
  </si>
  <si>
    <t>Minority GP/MM #1</t>
  </si>
  <si>
    <t>Minority GP/MM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</si>
</sst>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
    <numFmt numFmtId="165" formatCode="_(&quot;$&quot;* #,##0_);_(&quot;$&quot;* \(#,##0\);_(&quot;$&quot;* &quot;-&quot;??_);_(@_)"/>
    <numFmt numFmtId="166" formatCode="&quot;$&quot;#,##0"/>
    <numFmt numFmtId="167" formatCode="##\-####"/>
    <numFmt numFmtId="168" formatCode="_(* #,##0.0000_);_(* \(#,##0.0000\);_(* &quot;-&quot;??_);_(@_)"/>
    <numFmt numFmtId="169" formatCode="_(* #,##0_);_(* \(#,##0\);_(* &quot;-&quot;??_);_(@_)"/>
    <numFmt numFmtId="170" formatCode="#####\-####"/>
    <numFmt numFmtId="171" formatCode="[&lt;=9999999]###\-####;\(###\)\ ###\-####"/>
    <numFmt numFmtId="172" formatCode="0.000%"/>
    <numFmt numFmtId="173" formatCode="0.000000"/>
    <numFmt numFmtId="174" formatCode="##\-#######"/>
    <numFmt numFmtId="175" formatCode="General_)"/>
    <numFmt numFmtId="176" formatCode="0.000"/>
    <numFmt numFmtId="177" formatCode="&quot;$&quot;#,##0.00"/>
    <numFmt numFmtId="178" formatCode="0.0"/>
    <numFmt numFmtId="179" formatCode="##,###,###;\-##,###,###;"/>
    <numFmt numFmtId="180" formatCode="##,###,##0.00;\-##,###,##0.00;"/>
    <numFmt numFmtId="181" formatCode="#,##0.00_ ;\-#,##0.00\ "/>
    <numFmt numFmtId="182" formatCode="mm/dd/yy;@"/>
    <numFmt numFmtId="183" formatCode="00000"/>
  </numFmts>
  <fonts count="82" x14ac:knownFonts="1">
    <font>
      <sz val="11"/>
      <color theme="1"/>
      <name val="Arial"/>
      <family val="2"/>
      <scheme val="minor"/>
    </font>
    <font>
      <sz val="11"/>
      <color theme="1"/>
      <name val="Arial"/>
      <family val="2"/>
      <scheme val="minor"/>
    </font>
    <font>
      <b/>
      <sz val="11"/>
      <color theme="0"/>
      <name val="Arial"/>
      <family val="2"/>
      <scheme val="minor"/>
    </font>
    <font>
      <b/>
      <sz val="11"/>
      <color theme="1"/>
      <name val="Arial"/>
      <family val="2"/>
      <scheme val="minor"/>
    </font>
    <font>
      <sz val="11"/>
      <color theme="3"/>
      <name val="Arial"/>
      <family val="2"/>
      <scheme val="minor"/>
    </font>
    <font>
      <sz val="11"/>
      <name val="Arial"/>
      <family val="2"/>
      <scheme val="minor"/>
    </font>
    <font>
      <b/>
      <sz val="18"/>
      <color theme="0"/>
      <name val="Century Gothic"/>
      <family val="2"/>
    </font>
    <font>
      <b/>
      <sz val="12"/>
      <color theme="4"/>
      <name val="Century Gothic"/>
      <family val="2"/>
    </font>
    <font>
      <b/>
      <sz val="14"/>
      <color theme="5"/>
      <name val="Century Gothic"/>
      <family val="2"/>
    </font>
    <font>
      <sz val="11"/>
      <color theme="1"/>
      <name val="Calibri"/>
      <family val="2"/>
    </font>
    <font>
      <u/>
      <sz val="11"/>
      <color theme="10"/>
      <name val="Arial"/>
      <family val="2"/>
      <scheme val="minor"/>
    </font>
    <font>
      <b/>
      <sz val="12"/>
      <color theme="4"/>
      <name val="Arial"/>
      <family val="2"/>
      <scheme val="minor"/>
    </font>
    <font>
      <b/>
      <sz val="11"/>
      <color theme="3"/>
      <name val="Arial"/>
      <family val="2"/>
      <scheme val="minor"/>
    </font>
    <font>
      <b/>
      <sz val="11"/>
      <name val="Arial"/>
      <family val="2"/>
      <scheme val="minor"/>
    </font>
    <font>
      <b/>
      <sz val="11"/>
      <color theme="4"/>
      <name val="Arial"/>
      <family val="2"/>
      <scheme val="minor"/>
    </font>
    <font>
      <b/>
      <sz val="11"/>
      <color rgb="FFC00000"/>
      <name val="Arial"/>
      <family val="2"/>
      <scheme val="minor"/>
    </font>
    <font>
      <b/>
      <u/>
      <sz val="11"/>
      <color theme="4"/>
      <name val="Arial"/>
      <family val="2"/>
      <scheme val="minor"/>
    </font>
    <font>
      <b/>
      <sz val="9"/>
      <color indexed="81"/>
      <name val="Tahoma"/>
      <family val="2"/>
    </font>
    <font>
      <i/>
      <sz val="11"/>
      <color theme="3"/>
      <name val="Arial"/>
      <family val="2"/>
      <scheme val="minor"/>
    </font>
    <font>
      <sz val="10"/>
      <color theme="1"/>
      <name val="Arial"/>
      <family val="2"/>
      <scheme val="minor"/>
    </font>
    <font>
      <b/>
      <i/>
      <sz val="11"/>
      <color rgb="FFC00000"/>
      <name val="Arial"/>
      <family val="2"/>
      <scheme val="minor"/>
    </font>
    <font>
      <sz val="12"/>
      <color theme="1"/>
      <name val="Arial"/>
      <family val="2"/>
      <scheme val="minor"/>
    </font>
    <font>
      <b/>
      <sz val="11"/>
      <color theme="4" tint="-0.249977111117893"/>
      <name val="Arial"/>
      <family val="2"/>
      <scheme val="minor"/>
    </font>
    <font>
      <b/>
      <sz val="11"/>
      <color theme="5" tint="-0.499984740745262"/>
      <name val="Arial"/>
      <family val="2"/>
      <scheme val="minor"/>
    </font>
    <font>
      <i/>
      <sz val="11"/>
      <color rgb="FFC00000"/>
      <name val="Arial"/>
      <family val="2"/>
      <scheme val="minor"/>
    </font>
    <font>
      <sz val="11"/>
      <color theme="0"/>
      <name val="Arial"/>
      <family val="2"/>
      <scheme val="minor"/>
    </font>
    <font>
      <i/>
      <sz val="11"/>
      <color theme="1"/>
      <name val="Arial"/>
      <family val="2"/>
      <scheme val="minor"/>
    </font>
    <font>
      <b/>
      <sz val="18"/>
      <color theme="0"/>
      <name val="Arial"/>
      <family val="2"/>
      <scheme val="minor"/>
    </font>
    <font>
      <b/>
      <i/>
      <sz val="11"/>
      <color rgb="FFFF0000"/>
      <name val="Arial"/>
      <family val="2"/>
      <scheme val="minor"/>
    </font>
    <font>
      <b/>
      <i/>
      <sz val="11"/>
      <color theme="4"/>
      <name val="Arial"/>
      <family val="2"/>
      <scheme val="minor"/>
    </font>
    <font>
      <b/>
      <u/>
      <sz val="11"/>
      <color theme="3"/>
      <name val="Arial"/>
      <family val="2"/>
      <scheme val="minor"/>
    </font>
    <font>
      <b/>
      <i/>
      <sz val="11"/>
      <color theme="8" tint="-0.249977111117893"/>
      <name val="Arial"/>
      <family val="2"/>
      <scheme val="minor"/>
    </font>
    <font>
      <b/>
      <i/>
      <sz val="11"/>
      <color theme="8"/>
      <name val="Arial"/>
      <family val="2"/>
      <scheme val="minor"/>
    </font>
    <font>
      <b/>
      <sz val="10"/>
      <color theme="0"/>
      <name val="Arial"/>
      <family val="2"/>
      <scheme val="minor"/>
    </font>
    <font>
      <b/>
      <sz val="14"/>
      <color theme="4"/>
      <name val="Century Gothic"/>
      <family val="2"/>
      <scheme val="major"/>
    </font>
    <font>
      <i/>
      <sz val="12"/>
      <color theme="4"/>
      <name val="Century Gothic"/>
      <family val="2"/>
    </font>
    <font>
      <b/>
      <i/>
      <sz val="11"/>
      <color theme="5" tint="-0.249977111117893"/>
      <name val="Arial"/>
      <family val="2"/>
      <scheme val="minor"/>
    </font>
    <font>
      <b/>
      <sz val="16"/>
      <color theme="8"/>
      <name val="Arial"/>
      <family val="2"/>
      <scheme val="minor"/>
    </font>
    <font>
      <b/>
      <u/>
      <sz val="11"/>
      <color theme="1"/>
      <name val="Arial"/>
      <family val="2"/>
      <scheme val="minor"/>
    </font>
    <font>
      <sz val="11"/>
      <color theme="5"/>
      <name val="Arial"/>
      <family val="2"/>
      <scheme val="minor"/>
    </font>
    <font>
      <sz val="10"/>
      <name val="Arial"/>
      <family val="2"/>
    </font>
    <font>
      <i/>
      <sz val="10"/>
      <color theme="1"/>
      <name val="Arial"/>
      <family val="2"/>
      <scheme val="minor"/>
    </font>
    <font>
      <b/>
      <sz val="11"/>
      <name val="Arial"/>
      <family val="2"/>
    </font>
    <font>
      <sz val="9"/>
      <color indexed="81"/>
      <name val="Tahoma"/>
      <family val="2"/>
    </font>
    <font>
      <sz val="8"/>
      <color rgb="FF000000"/>
      <name val="Segoe UI"/>
      <family val="2"/>
    </font>
    <font>
      <b/>
      <sz val="14"/>
      <color theme="0"/>
      <name val="Century Gothic"/>
      <family val="2"/>
    </font>
    <font>
      <b/>
      <i/>
      <sz val="11"/>
      <color theme="1"/>
      <name val="Arial"/>
      <family val="2"/>
      <scheme val="minor"/>
    </font>
    <font>
      <sz val="10"/>
      <name val="Times New Roman"/>
      <family val="1"/>
    </font>
    <font>
      <sz val="10"/>
      <name val="Arial"/>
      <family val="2"/>
      <scheme val="minor"/>
    </font>
    <font>
      <b/>
      <sz val="12"/>
      <name val="Arial"/>
      <family val="2"/>
      <scheme val="minor"/>
    </font>
    <font>
      <b/>
      <sz val="8"/>
      <name val="Arial"/>
      <family val="2"/>
      <scheme val="minor"/>
    </font>
    <font>
      <sz val="10"/>
      <color indexed="8"/>
      <name val="Arial"/>
      <family val="2"/>
      <scheme val="minor"/>
    </font>
    <font>
      <sz val="10"/>
      <color indexed="8"/>
      <name val="Calibri"/>
      <family val="2"/>
    </font>
    <font>
      <b/>
      <sz val="10"/>
      <name val="Arial"/>
      <family val="2"/>
      <scheme val="minor"/>
    </font>
    <font>
      <b/>
      <sz val="9"/>
      <name val="Arial"/>
      <family val="2"/>
      <scheme val="minor"/>
    </font>
    <font>
      <i/>
      <sz val="11"/>
      <name val="Arial"/>
      <family val="2"/>
      <scheme val="minor"/>
    </font>
    <font>
      <b/>
      <sz val="8"/>
      <color theme="0"/>
      <name val="Arial"/>
      <family val="2"/>
      <scheme val="minor"/>
    </font>
    <font>
      <i/>
      <sz val="11"/>
      <color rgb="FF333333"/>
      <name val="Arial"/>
      <family val="2"/>
      <scheme val="minor"/>
    </font>
    <font>
      <b/>
      <i/>
      <sz val="14"/>
      <color theme="5"/>
      <name val="Century Gothic"/>
      <family val="2"/>
    </font>
    <font>
      <b/>
      <i/>
      <sz val="12"/>
      <color theme="5"/>
      <name val="Century Gothic"/>
      <family val="2"/>
    </font>
    <font>
      <b/>
      <i/>
      <sz val="14"/>
      <color rgb="FFC00000"/>
      <name val="Arial"/>
      <family val="2"/>
      <scheme val="minor"/>
    </font>
    <font>
      <b/>
      <i/>
      <sz val="12"/>
      <color rgb="FFC00000"/>
      <name val="Arial"/>
      <family val="2"/>
      <scheme val="minor"/>
    </font>
    <font>
      <i/>
      <sz val="11"/>
      <color theme="4"/>
      <name val="Arial"/>
      <family val="2"/>
    </font>
    <font>
      <b/>
      <i/>
      <sz val="11"/>
      <color theme="0"/>
      <name val="Arial"/>
      <family val="2"/>
      <scheme val="minor"/>
    </font>
    <font>
      <b/>
      <sz val="16"/>
      <color theme="5"/>
      <name val="Century Gothic"/>
      <family val="2"/>
    </font>
    <font>
      <i/>
      <sz val="11"/>
      <name val="Arial"/>
      <family val="2"/>
    </font>
    <font>
      <b/>
      <u/>
      <sz val="11"/>
      <color theme="0"/>
      <name val="Arial"/>
      <family val="2"/>
      <scheme val="minor"/>
    </font>
    <font>
      <b/>
      <sz val="14"/>
      <name val="Arial"/>
      <family val="2"/>
      <scheme val="minor"/>
    </font>
    <font>
      <sz val="10"/>
      <color rgb="FFFF0000"/>
      <name val="Arial"/>
      <family val="2"/>
      <scheme val="minor"/>
    </font>
    <font>
      <sz val="10"/>
      <color rgb="FF3F3F3F"/>
      <name val="Arial"/>
      <family val="2"/>
    </font>
    <font>
      <sz val="10"/>
      <color rgb="FF000000"/>
      <name val="Arial"/>
      <family val="2"/>
    </font>
    <font>
      <b/>
      <sz val="10"/>
      <name val="Arial"/>
      <family val="2"/>
    </font>
    <font>
      <sz val="11"/>
      <color theme="1"/>
      <name val="Times New Roman"/>
      <family val="1"/>
    </font>
    <font>
      <b/>
      <sz val="10"/>
      <color theme="1"/>
      <name val="Arial"/>
      <family val="2"/>
    </font>
    <font>
      <sz val="10"/>
      <color theme="1"/>
      <name val="Arial"/>
      <family val="2"/>
    </font>
    <font>
      <b/>
      <sz val="11"/>
      <color rgb="FFFF0000"/>
      <name val="Arial"/>
      <family val="2"/>
      <scheme val="minor"/>
    </font>
    <font>
      <sz val="11"/>
      <color theme="1"/>
      <name val="Arial"/>
      <family val="2"/>
    </font>
    <font>
      <b/>
      <u/>
      <sz val="11"/>
      <color theme="10"/>
      <name val="Arial"/>
      <family val="2"/>
      <scheme val="minor"/>
    </font>
    <font>
      <sz val="11"/>
      <color theme="10"/>
      <name val="Arial"/>
      <family val="2"/>
      <scheme val="minor"/>
    </font>
    <font>
      <i/>
      <u/>
      <sz val="11"/>
      <color theme="10"/>
      <name val="Arial"/>
      <family val="2"/>
      <scheme val="minor"/>
    </font>
    <font>
      <sz val="8"/>
      <name val="Arial"/>
      <family val="2"/>
      <scheme val="minor"/>
    </font>
    <font>
      <b/>
      <sz val="10"/>
      <color theme="1"/>
      <name val="Arial"/>
      <family val="2"/>
      <scheme val="minor"/>
    </font>
  </fonts>
  <fills count="40">
    <fill>
      <patternFill patternType="none"/>
    </fill>
    <fill>
      <patternFill patternType="gray125"/>
    </fill>
    <fill>
      <patternFill patternType="solid">
        <fgColor theme="4"/>
        <bgColor indexed="64"/>
      </patternFill>
    </fill>
    <fill>
      <patternFill patternType="solid">
        <fgColor theme="2"/>
        <bgColor indexed="64"/>
      </patternFill>
    </fill>
    <fill>
      <patternFill patternType="solid">
        <fgColor theme="8" tint="0.79998168889431442"/>
        <bgColor indexed="64"/>
      </patternFill>
    </fill>
    <fill>
      <patternFill patternType="solid">
        <fgColor theme="9" tint="-9.9978637043366805E-2"/>
        <bgColor indexed="64"/>
      </patternFill>
    </fill>
    <fill>
      <patternFill patternType="solid">
        <fgColor theme="9"/>
        <bgColor indexed="64"/>
      </patternFill>
    </fill>
    <fill>
      <patternFill patternType="solid">
        <fgColor theme="0"/>
        <bgColor indexed="64"/>
      </patternFill>
    </fill>
    <fill>
      <patternFill patternType="solid">
        <fgColor theme="7" tint="0.59999389629810485"/>
        <bgColor indexed="64"/>
      </patternFill>
    </fill>
    <fill>
      <patternFill patternType="solid">
        <fgColor theme="5"/>
        <bgColor indexed="64"/>
      </patternFill>
    </fill>
    <fill>
      <patternFill patternType="solid">
        <fgColor theme="7" tint="-0.249977111117893"/>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9" tint="-0.49998474074526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rgb="FFA6A6A6"/>
        <bgColor indexed="64"/>
      </patternFill>
    </fill>
    <fill>
      <patternFill patternType="solid">
        <fgColor rgb="FF99CCB2"/>
        <bgColor indexed="64"/>
      </patternFill>
    </fill>
    <fill>
      <patternFill patternType="solid">
        <fgColor rgb="FFB3E1FF"/>
        <bgColor indexed="64"/>
      </patternFill>
    </fill>
    <fill>
      <patternFill patternType="solid">
        <fgColor theme="8" tint="0.39997558519241921"/>
        <bgColor indexed="64"/>
      </patternFill>
    </fill>
    <fill>
      <patternFill patternType="solid">
        <fgColor rgb="FF63C0C0"/>
        <bgColor indexed="64"/>
      </patternFill>
    </fill>
    <fill>
      <patternFill patternType="lightDown">
        <fgColor theme="9" tint="-9.9948118533890809E-2"/>
        <bgColor theme="0"/>
      </patternFill>
    </fill>
    <fill>
      <patternFill patternType="solid">
        <fgColor rgb="FFFFFFFF"/>
        <bgColor rgb="FFFFFFFF"/>
      </patternFill>
    </fill>
    <fill>
      <patternFill patternType="solid">
        <fgColor theme="0" tint="-0.14999847407452621"/>
        <bgColor indexed="64"/>
      </patternFill>
    </fill>
    <fill>
      <patternFill patternType="solid">
        <fgColor theme="6" tint="0.39997558519241921"/>
        <bgColor indexed="64"/>
      </patternFill>
    </fill>
    <fill>
      <patternFill patternType="solid">
        <fgColor rgb="FFC1C1C1"/>
        <bgColor indexed="64"/>
      </patternFill>
    </fill>
    <fill>
      <patternFill patternType="solid">
        <fgColor rgb="FFDCF1F1"/>
        <bgColor indexed="64"/>
      </patternFill>
    </fill>
    <fill>
      <patternFill patternType="solid">
        <fgColor rgb="FFCFE7DB"/>
        <bgColor indexed="64"/>
      </patternFill>
    </fill>
    <fill>
      <patternFill patternType="solid">
        <fgColor rgb="FFEAF6F6"/>
        <bgColor indexed="64"/>
      </patternFill>
    </fill>
    <fill>
      <patternFill patternType="solid">
        <fgColor rgb="FF56AA80"/>
        <bgColor indexed="64"/>
      </patternFill>
    </fill>
    <fill>
      <patternFill patternType="solid">
        <fgColor rgb="FFEAEAEA"/>
        <bgColor indexed="64"/>
      </patternFill>
    </fill>
    <fill>
      <patternFill patternType="lightUp">
        <bgColor theme="9" tint="-9.9978637043366805E-2"/>
      </patternFill>
    </fill>
    <fill>
      <patternFill patternType="solid">
        <fgColor rgb="FF6B6B6B"/>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style="thin">
        <color indexed="64"/>
      </bottom>
      <diagonal/>
    </border>
    <border>
      <left style="thin">
        <color theme="9" tint="-0.249977111117893"/>
      </left>
      <right style="thin">
        <color theme="9" tint="-0.249977111117893"/>
      </right>
      <top style="thin">
        <color indexed="64"/>
      </top>
      <bottom style="thin">
        <color indexed="64"/>
      </bottom>
      <diagonal/>
    </border>
    <border>
      <left style="thin">
        <color theme="9" tint="-0.249977111117893"/>
      </left>
      <right style="thin">
        <color theme="9" tint="-0.249977111117893"/>
      </right>
      <top style="thin">
        <color indexed="64"/>
      </top>
      <bottom style="thin">
        <color theme="9" tint="-0.249977111117893"/>
      </bottom>
      <diagonal/>
    </border>
    <border>
      <left style="thin">
        <color theme="9" tint="-0.249977111117893"/>
      </left>
      <right/>
      <top style="thin">
        <color theme="9" tint="-0.249977111117893"/>
      </top>
      <bottom style="thin">
        <color indexed="64"/>
      </bottom>
      <diagonal/>
    </border>
    <border>
      <left style="thin">
        <color theme="9" tint="-0.249977111117893"/>
      </left>
      <right/>
      <top style="thin">
        <color indexed="64"/>
      </top>
      <bottom style="thin">
        <color indexed="64"/>
      </bottom>
      <diagonal/>
    </border>
    <border>
      <left style="thin">
        <color theme="9" tint="-0.249977111117893"/>
      </left>
      <right/>
      <top style="thin">
        <color indexed="64"/>
      </top>
      <bottom style="thin">
        <color theme="9" tint="-0.249977111117893"/>
      </bottom>
      <diagonal/>
    </border>
    <border>
      <left/>
      <right/>
      <top/>
      <bottom style="thin">
        <color indexed="64"/>
      </bottom>
      <diagonal/>
    </border>
    <border>
      <left/>
      <right style="thin">
        <color theme="9" tint="-0.249977111117893"/>
      </right>
      <top/>
      <bottom/>
      <diagonal/>
    </border>
    <border>
      <left style="thin">
        <color theme="2" tint="-0.249977111117893"/>
      </left>
      <right style="thin">
        <color indexed="64"/>
      </right>
      <top style="thin">
        <color theme="2" tint="-0.249977111117893"/>
      </top>
      <bottom style="thin">
        <color indexed="64"/>
      </bottom>
      <diagonal/>
    </border>
    <border>
      <left style="thin">
        <color theme="2" tint="-0.249977111117893"/>
      </left>
      <right style="thin">
        <color indexed="64"/>
      </right>
      <top style="thin">
        <color indexed="64"/>
      </top>
      <bottom style="thin">
        <color indexed="64"/>
      </bottom>
      <diagonal/>
    </border>
    <border>
      <left style="thin">
        <color theme="2" tint="-0.249977111117893"/>
      </left>
      <right style="thin">
        <color indexed="64"/>
      </right>
      <top style="thin">
        <color indexed="64"/>
      </top>
      <bottom style="thin">
        <color theme="2" tint="-0.249977111117893"/>
      </bottom>
      <diagonal/>
    </border>
    <border>
      <left style="thin">
        <color theme="9" tint="-0.249977111117893"/>
      </left>
      <right/>
      <top style="thin">
        <color theme="9" tint="-0.249977111117893"/>
      </top>
      <bottom/>
      <diagonal/>
    </border>
    <border>
      <left style="thin">
        <color theme="9" tint="-0.249977111117893"/>
      </left>
      <right/>
      <top/>
      <bottom/>
      <diagonal/>
    </border>
    <border>
      <left style="thin">
        <color theme="9" tint="-0.249977111117893"/>
      </left>
      <right/>
      <top/>
      <bottom style="thin">
        <color theme="9" tint="-0.249977111117893"/>
      </bottom>
      <diagonal/>
    </border>
    <border>
      <left style="thin">
        <color theme="6"/>
      </left>
      <right style="thin">
        <color theme="6"/>
      </right>
      <top style="thin">
        <color theme="6"/>
      </top>
      <bottom style="thin">
        <color theme="6"/>
      </bottom>
      <diagonal/>
    </border>
    <border>
      <left style="thin">
        <color theme="9" tint="-0.249977111117893"/>
      </left>
      <right/>
      <top/>
      <bottom style="thin">
        <color indexed="64"/>
      </bottom>
      <diagonal/>
    </border>
    <border>
      <left style="thin">
        <color indexed="64"/>
      </left>
      <right style="thin">
        <color indexed="64"/>
      </right>
      <top/>
      <bottom/>
      <diagonal/>
    </border>
    <border>
      <left style="thin">
        <color indexed="18"/>
      </left>
      <right/>
      <top style="thin">
        <color indexed="18"/>
      </top>
      <bottom/>
      <diagonal/>
    </border>
    <border>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style="thin">
        <color indexed="1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18"/>
      </left>
      <right style="thin">
        <color indexed="18"/>
      </right>
      <top style="thin">
        <color auto="1"/>
      </top>
      <bottom style="thin">
        <color indexed="18"/>
      </bottom>
      <diagonal/>
    </border>
    <border>
      <left style="thin">
        <color indexed="18"/>
      </left>
      <right style="thin">
        <color auto="1"/>
      </right>
      <top style="thin">
        <color auto="1"/>
      </top>
      <bottom style="thin">
        <color indexed="18"/>
      </bottom>
      <diagonal/>
    </border>
    <border>
      <left style="thin">
        <color auto="1"/>
      </left>
      <right style="thin">
        <color auto="1"/>
      </right>
      <top style="thin">
        <color auto="1"/>
      </top>
      <bottom style="thin">
        <color indexed="18"/>
      </bottom>
      <diagonal/>
    </border>
    <border>
      <left style="thin">
        <color indexed="18"/>
      </left>
      <right style="thin">
        <color auto="1"/>
      </right>
      <top style="thin">
        <color indexed="18"/>
      </top>
      <bottom style="thin">
        <color indexed="18"/>
      </bottom>
      <diagonal/>
    </border>
    <border>
      <left style="thin">
        <color auto="1"/>
      </left>
      <right style="thin">
        <color auto="1"/>
      </right>
      <top style="thin">
        <color indexed="18"/>
      </top>
      <bottom style="thin">
        <color indexed="18"/>
      </bottom>
      <diagonal/>
    </border>
    <border>
      <left style="thin">
        <color indexed="18"/>
      </left>
      <right style="thin">
        <color indexed="18"/>
      </right>
      <top style="thin">
        <color indexed="18"/>
      </top>
      <bottom style="thin">
        <color auto="1"/>
      </bottom>
      <diagonal/>
    </border>
    <border>
      <left style="thin">
        <color indexed="18"/>
      </left>
      <right style="thin">
        <color auto="1"/>
      </right>
      <top style="thin">
        <color indexed="18"/>
      </top>
      <bottom style="thin">
        <color auto="1"/>
      </bottom>
      <diagonal/>
    </border>
    <border>
      <left style="thin">
        <color auto="1"/>
      </left>
      <right style="thin">
        <color auto="1"/>
      </right>
      <top style="thin">
        <color indexed="18"/>
      </top>
      <bottom style="thin">
        <color auto="1"/>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rgb="FF000000"/>
      </left>
      <right/>
      <top/>
      <bottom/>
      <diagonal/>
    </border>
    <border>
      <left style="medium">
        <color indexed="64"/>
      </left>
      <right/>
      <top/>
      <bottom style="medium">
        <color rgb="FF000000"/>
      </bottom>
      <diagonal/>
    </border>
    <border>
      <left/>
      <right/>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style="medium">
        <color indexed="64"/>
      </left>
      <right style="medium">
        <color indexed="64"/>
      </right>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s>
  <cellStyleXfs count="17">
    <xf numFmtId="0" fontId="0" fillId="0" borderId="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43" fontId="1" fillId="0" borderId="0" applyFont="0" applyFill="0" applyBorder="0" applyAlignment="0" applyProtection="0"/>
    <xf numFmtId="175" fontId="40" fillId="0" borderId="0"/>
    <xf numFmtId="42" fontId="1" fillId="0" borderId="0" applyFont="0" applyFill="0" applyBorder="0" applyAlignment="0" applyProtection="0"/>
    <xf numFmtId="0" fontId="47" fillId="0" borderId="0"/>
    <xf numFmtId="0" fontId="1" fillId="0" borderId="0"/>
    <xf numFmtId="43" fontId="69" fillId="0" borderId="0" applyFont="0" applyFill="0" applyBorder="0" applyAlignment="0" applyProtection="0"/>
    <xf numFmtId="44" fontId="69" fillId="0" borderId="0" applyFont="0" applyFill="0" applyBorder="0" applyAlignment="0" applyProtection="0"/>
    <xf numFmtId="0" fontId="69" fillId="0" borderId="0"/>
    <xf numFmtId="0" fontId="70" fillId="0" borderId="0"/>
    <xf numFmtId="0" fontId="70" fillId="0" borderId="0"/>
    <xf numFmtId="0" fontId="1" fillId="0" borderId="0"/>
    <xf numFmtId="9" fontId="69" fillId="0" borderId="0" applyFont="0" applyFill="0" applyBorder="0" applyAlignment="0" applyProtection="0"/>
    <xf numFmtId="9" fontId="70" fillId="0" borderId="0" applyFont="0" applyFill="0" applyBorder="0" applyAlignment="0" applyProtection="0"/>
  </cellStyleXfs>
  <cellXfs count="912">
    <xf numFmtId="0" fontId="0" fillId="0" borderId="0" xfId="0"/>
    <xf numFmtId="0" fontId="5" fillId="2" borderId="3" xfId="0" applyFont="1" applyFill="1" applyBorder="1"/>
    <xf numFmtId="0" fontId="0" fillId="6" borderId="3" xfId="0" applyFill="1" applyBorder="1"/>
    <xf numFmtId="0" fontId="6" fillId="2" borderId="2" xfId="0" applyFont="1" applyFill="1" applyBorder="1"/>
    <xf numFmtId="0" fontId="7" fillId="6" borderId="2" xfId="0" applyFont="1" applyFill="1" applyBorder="1"/>
    <xf numFmtId="0" fontId="0" fillId="7" borderId="0" xfId="0" applyFill="1"/>
    <xf numFmtId="0" fontId="8" fillId="7" borderId="0" xfId="0" applyFont="1" applyFill="1"/>
    <xf numFmtId="0" fontId="0" fillId="10" borderId="1" xfId="1" applyNumberFormat="1" applyFont="1" applyFill="1" applyBorder="1" applyProtection="1">
      <protection locked="0"/>
    </xf>
    <xf numFmtId="0" fontId="4" fillId="7" borderId="0" xfId="0" applyFont="1" applyFill="1"/>
    <xf numFmtId="0" fontId="0" fillId="5" borderId="1" xfId="0" applyFill="1" applyBorder="1"/>
    <xf numFmtId="0" fontId="2" fillId="9" borderId="1" xfId="0" applyFont="1" applyFill="1" applyBorder="1"/>
    <xf numFmtId="0" fontId="2" fillId="9" borderId="2" xfId="0" applyFont="1" applyFill="1" applyBorder="1" applyAlignment="1">
      <alignment horizontal="left"/>
    </xf>
    <xf numFmtId="0" fontId="2" fillId="9" borderId="1" xfId="0" applyFont="1" applyFill="1" applyBorder="1" applyAlignment="1">
      <alignment horizontal="right"/>
    </xf>
    <xf numFmtId="0" fontId="0" fillId="7" borderId="0" xfId="0" quotePrefix="1" applyFill="1" applyAlignment="1">
      <alignment wrapText="1"/>
    </xf>
    <xf numFmtId="0" fontId="12" fillId="7" borderId="0" xfId="0" applyFont="1" applyFill="1" applyAlignment="1">
      <alignment vertical="center"/>
    </xf>
    <xf numFmtId="0" fontId="2" fillId="9" borderId="1" xfId="0" applyFont="1" applyFill="1" applyBorder="1" applyAlignment="1">
      <alignment horizontal="center"/>
    </xf>
    <xf numFmtId="0" fontId="0" fillId="5" borderId="1" xfId="0" applyFill="1" applyBorder="1" applyAlignment="1">
      <alignment horizontal="center"/>
    </xf>
    <xf numFmtId="9" fontId="0" fillId="5" borderId="1" xfId="2" applyFont="1" applyFill="1" applyBorder="1" applyAlignment="1">
      <alignment horizontal="center"/>
    </xf>
    <xf numFmtId="0" fontId="5" fillId="7" borderId="0" xfId="0" applyFont="1" applyFill="1" applyAlignment="1">
      <alignment horizontal="left" wrapText="1"/>
    </xf>
    <xf numFmtId="0" fontId="5" fillId="7" borderId="0" xfId="0" applyFont="1" applyFill="1"/>
    <xf numFmtId="0" fontId="0" fillId="7" borderId="0" xfId="0" applyFill="1" applyAlignment="1">
      <alignment wrapText="1"/>
    </xf>
    <xf numFmtId="0" fontId="0" fillId="7" borderId="0" xfId="0" applyFill="1" applyAlignment="1">
      <alignment horizontal="center" wrapText="1"/>
    </xf>
    <xf numFmtId="0" fontId="0" fillId="7" borderId="0" xfId="0" applyFill="1" applyAlignment="1">
      <alignment horizontal="left" wrapText="1"/>
    </xf>
    <xf numFmtId="0" fontId="2" fillId="9" borderId="1" xfId="0" applyFont="1" applyFill="1" applyBorder="1" applyAlignment="1">
      <alignment horizontal="left"/>
    </xf>
    <xf numFmtId="0" fontId="4" fillId="7" borderId="0" xfId="0" applyFont="1" applyFill="1" applyAlignment="1">
      <alignment wrapText="1"/>
    </xf>
    <xf numFmtId="0" fontId="7" fillId="7" borderId="0" xfId="0" applyFont="1" applyFill="1"/>
    <xf numFmtId="0" fontId="5" fillId="5" borderId="1" xfId="0" applyFont="1" applyFill="1" applyBorder="1" applyAlignment="1">
      <alignment horizontal="left"/>
    </xf>
    <xf numFmtId="9" fontId="0" fillId="5" borderId="1" xfId="2" applyFont="1" applyFill="1" applyBorder="1"/>
    <xf numFmtId="44" fontId="0" fillId="5" borderId="1" xfId="1" applyFont="1" applyFill="1" applyBorder="1"/>
    <xf numFmtId="0" fontId="0" fillId="5" borderId="1" xfId="1" applyNumberFormat="1" applyFont="1" applyFill="1" applyBorder="1"/>
    <xf numFmtId="44" fontId="0" fillId="5" borderId="1" xfId="0" applyNumberFormat="1" applyFill="1" applyBorder="1"/>
    <xf numFmtId="0" fontId="2" fillId="9" borderId="2" xfId="0" applyFont="1" applyFill="1" applyBorder="1"/>
    <xf numFmtId="0" fontId="0" fillId="9" borderId="3" xfId="0" applyFill="1" applyBorder="1" applyAlignment="1">
      <alignment horizontal="left"/>
    </xf>
    <xf numFmtId="9" fontId="0" fillId="10" borderId="1" xfId="2" applyFont="1" applyFill="1" applyBorder="1" applyProtection="1">
      <protection locked="0"/>
    </xf>
    <xf numFmtId="0" fontId="0" fillId="7" borderId="0" xfId="0" applyFill="1" applyAlignment="1">
      <alignment horizontal="right"/>
    </xf>
    <xf numFmtId="0" fontId="14" fillId="6" borderId="3" xfId="0" applyFont="1" applyFill="1" applyBorder="1" applyAlignment="1">
      <alignment horizontal="left"/>
    </xf>
    <xf numFmtId="0" fontId="14" fillId="6" borderId="3" xfId="0" applyFont="1" applyFill="1" applyBorder="1"/>
    <xf numFmtId="0" fontId="3" fillId="7" borderId="0" xfId="0" applyFont="1" applyFill="1" applyAlignment="1">
      <alignment horizontal="right"/>
    </xf>
    <xf numFmtId="0" fontId="13" fillId="5" borderId="1" xfId="0" applyFont="1" applyFill="1" applyBorder="1" applyAlignment="1">
      <alignment horizontal="left"/>
    </xf>
    <xf numFmtId="44" fontId="13" fillId="5" borderId="1" xfId="1" applyFont="1" applyFill="1" applyBorder="1" applyAlignment="1">
      <alignment horizontal="center"/>
    </xf>
    <xf numFmtId="44" fontId="0" fillId="5" borderId="1" xfId="1" applyFont="1" applyFill="1" applyBorder="1" applyAlignment="1">
      <alignment horizontal="center"/>
    </xf>
    <xf numFmtId="44" fontId="0" fillId="7" borderId="0" xfId="1" applyFont="1" applyFill="1"/>
    <xf numFmtId="0" fontId="0" fillId="5" borderId="1" xfId="0" applyFill="1" applyBorder="1" applyAlignment="1">
      <alignment horizontal="right"/>
    </xf>
    <xf numFmtId="0" fontId="4" fillId="7" borderId="0" xfId="0" applyFont="1" applyFill="1" applyAlignment="1">
      <alignment horizontal="left" vertical="top" wrapText="1"/>
    </xf>
    <xf numFmtId="0" fontId="4" fillId="7" borderId="0" xfId="0" applyFont="1" applyFill="1" applyAlignment="1">
      <alignment horizontal="left" wrapText="1"/>
    </xf>
    <xf numFmtId="44" fontId="0" fillId="5" borderId="1" xfId="1" applyFont="1" applyFill="1" applyBorder="1" applyAlignment="1">
      <alignment horizontal="right"/>
    </xf>
    <xf numFmtId="10" fontId="0" fillId="5" borderId="1" xfId="2" applyNumberFormat="1" applyFont="1" applyFill="1" applyBorder="1"/>
    <xf numFmtId="10" fontId="0" fillId="5" borderId="1" xfId="0" applyNumberFormat="1" applyFill="1" applyBorder="1"/>
    <xf numFmtId="0" fontId="0" fillId="7" borderId="0" xfId="0" applyFill="1" applyAlignment="1">
      <alignment horizontal="left"/>
    </xf>
    <xf numFmtId="167" fontId="0" fillId="8" borderId="1" xfId="1" applyNumberFormat="1" applyFont="1" applyFill="1" applyBorder="1" applyAlignment="1" applyProtection="1">
      <alignment horizontal="left"/>
      <protection locked="0"/>
    </xf>
    <xf numFmtId="0" fontId="0" fillId="8" borderId="1" xfId="2" applyNumberFormat="1" applyFont="1" applyFill="1" applyBorder="1" applyProtection="1">
      <protection locked="0"/>
    </xf>
    <xf numFmtId="0" fontId="14" fillId="7" borderId="0" xfId="0" applyFont="1" applyFill="1"/>
    <xf numFmtId="0" fontId="2" fillId="9" borderId="1" xfId="0" applyFont="1" applyFill="1" applyBorder="1" applyAlignment="1">
      <alignment horizontal="center" vertical="center" wrapText="1"/>
    </xf>
    <xf numFmtId="0" fontId="14" fillId="0" borderId="0" xfId="0" applyFont="1" applyAlignment="1">
      <alignment horizontal="left"/>
    </xf>
    <xf numFmtId="0" fontId="4" fillId="7" borderId="0" xfId="0" applyFont="1" applyFill="1" applyAlignment="1">
      <alignment vertical="top" wrapText="1"/>
    </xf>
    <xf numFmtId="44" fontId="0" fillId="5" borderId="4" xfId="1" applyFont="1" applyFill="1" applyBorder="1"/>
    <xf numFmtId="9" fontId="0" fillId="5" borderId="1" xfId="0" applyNumberFormat="1" applyFill="1" applyBorder="1" applyAlignment="1">
      <alignment horizontal="center"/>
    </xf>
    <xf numFmtId="0" fontId="0" fillId="7" borderId="0" xfId="0" applyFill="1" applyAlignment="1">
      <alignment horizontal="center" vertical="center" wrapText="1"/>
    </xf>
    <xf numFmtId="0" fontId="0" fillId="9" borderId="2" xfId="0" applyFill="1" applyBorder="1"/>
    <xf numFmtId="0" fontId="0" fillId="9" borderId="3" xfId="0" applyFill="1" applyBorder="1"/>
    <xf numFmtId="44" fontId="0" fillId="9" borderId="3" xfId="1" applyFont="1" applyFill="1" applyBorder="1"/>
    <xf numFmtId="0" fontId="2" fillId="2" borderId="2" xfId="0" applyFont="1" applyFill="1" applyBorder="1"/>
    <xf numFmtId="0" fontId="0" fillId="18" borderId="5" xfId="0" applyFill="1" applyBorder="1"/>
    <xf numFmtId="0" fontId="0" fillId="18" borderId="5" xfId="0" applyFill="1" applyBorder="1" applyAlignment="1">
      <alignment horizontal="left"/>
    </xf>
    <xf numFmtId="0" fontId="0" fillId="18" borderId="0" xfId="0" applyFill="1"/>
    <xf numFmtId="0" fontId="0" fillId="18" borderId="0" xfId="0" applyFill="1" applyAlignment="1">
      <alignment horizontal="left"/>
    </xf>
    <xf numFmtId="0" fontId="0" fillId="18" borderId="27" xfId="0" applyFill="1" applyBorder="1"/>
    <xf numFmtId="0" fontId="0" fillId="18" borderId="38" xfId="0" applyFill="1" applyBorder="1"/>
    <xf numFmtId="0" fontId="0" fillId="18" borderId="29" xfId="0" applyFill="1" applyBorder="1"/>
    <xf numFmtId="0" fontId="0" fillId="18" borderId="14" xfId="0" applyFill="1" applyBorder="1" applyAlignment="1">
      <alignment horizontal="left"/>
    </xf>
    <xf numFmtId="0" fontId="0" fillId="18" borderId="26" xfId="0" applyFill="1" applyBorder="1" applyAlignment="1">
      <alignment horizontal="left"/>
    </xf>
    <xf numFmtId="0" fontId="0" fillId="18" borderId="18" xfId="0" applyFill="1" applyBorder="1" applyAlignment="1">
      <alignment horizontal="left"/>
    </xf>
    <xf numFmtId="0" fontId="0" fillId="18" borderId="27" xfId="0" applyFill="1" applyBorder="1" applyAlignment="1">
      <alignment horizontal="left"/>
    </xf>
    <xf numFmtId="0" fontId="0" fillId="18" borderId="28" xfId="0" applyFill="1" applyBorder="1" applyAlignment="1">
      <alignment horizontal="left"/>
    </xf>
    <xf numFmtId="0" fontId="0" fillId="18" borderId="38" xfId="0" applyFill="1" applyBorder="1" applyAlignment="1">
      <alignment horizontal="left"/>
    </xf>
    <xf numFmtId="0" fontId="0" fillId="18" borderId="29" xfId="0" applyFill="1" applyBorder="1" applyAlignment="1">
      <alignment horizontal="left"/>
    </xf>
    <xf numFmtId="0" fontId="0" fillId="18" borderId="2" xfId="0" applyFill="1" applyBorder="1"/>
    <xf numFmtId="0" fontId="20" fillId="7" borderId="0" xfId="0" applyFont="1" applyFill="1"/>
    <xf numFmtId="0" fontId="14" fillId="7" borderId="0" xfId="0" applyFont="1" applyFill="1" applyAlignment="1">
      <alignment horizontal="left"/>
    </xf>
    <xf numFmtId="0" fontId="24" fillId="7" borderId="0" xfId="0" applyFont="1" applyFill="1"/>
    <xf numFmtId="0" fontId="8" fillId="7" borderId="0" xfId="0" applyFont="1" applyFill="1" applyAlignment="1">
      <alignment horizontal="left"/>
    </xf>
    <xf numFmtId="0" fontId="8" fillId="7" borderId="0" xfId="0" applyFont="1" applyFill="1" applyAlignment="1">
      <alignment horizontal="left" wrapText="1"/>
    </xf>
    <xf numFmtId="0" fontId="0" fillId="7" borderId="0" xfId="0" applyFill="1" applyAlignment="1">
      <alignment vertical="top"/>
    </xf>
    <xf numFmtId="0" fontId="0" fillId="6" borderId="0" xfId="0" applyFill="1"/>
    <xf numFmtId="0" fontId="22" fillId="5" borderId="2" xfId="0" applyFont="1" applyFill="1" applyBorder="1" applyAlignment="1">
      <alignment horizontal="left"/>
    </xf>
    <xf numFmtId="0" fontId="22" fillId="5" borderId="3" xfId="0" applyFont="1" applyFill="1" applyBorder="1" applyAlignment="1">
      <alignment horizontal="left"/>
    </xf>
    <xf numFmtId="0" fontId="22" fillId="5" borderId="4" xfId="0" applyFont="1" applyFill="1" applyBorder="1" applyAlignment="1">
      <alignment horizontal="left"/>
    </xf>
    <xf numFmtId="0" fontId="24" fillId="7" borderId="0" xfId="0" applyFont="1" applyFill="1" applyAlignment="1">
      <alignment horizontal="center"/>
    </xf>
    <xf numFmtId="0" fontId="3" fillId="7" borderId="0" xfId="0" applyFont="1" applyFill="1"/>
    <xf numFmtId="0" fontId="0" fillId="10" borderId="1" xfId="1" applyNumberFormat="1" applyFont="1" applyFill="1" applyBorder="1" applyAlignment="1" applyProtection="1">
      <alignment horizontal="left"/>
      <protection locked="0"/>
    </xf>
    <xf numFmtId="10" fontId="0" fillId="8" borderId="1" xfId="2" applyNumberFormat="1" applyFont="1" applyFill="1" applyBorder="1" applyAlignment="1" applyProtection="1">
      <alignment horizontal="left"/>
      <protection locked="0"/>
    </xf>
    <xf numFmtId="9" fontId="0" fillId="8" borderId="1" xfId="2" applyFont="1" applyFill="1" applyBorder="1" applyAlignment="1" applyProtection="1">
      <alignment horizontal="left"/>
      <protection locked="0"/>
    </xf>
    <xf numFmtId="43" fontId="0" fillId="5" borderId="1" xfId="4" applyFont="1" applyFill="1" applyBorder="1"/>
    <xf numFmtId="9" fontId="0" fillId="8" borderId="1" xfId="2" applyFont="1" applyFill="1" applyBorder="1" applyProtection="1">
      <protection locked="0"/>
    </xf>
    <xf numFmtId="44" fontId="0" fillId="9" borderId="4" xfId="0" applyNumberFormat="1" applyFill="1" applyBorder="1"/>
    <xf numFmtId="0" fontId="0" fillId="9" borderId="4" xfId="0" applyFill="1" applyBorder="1"/>
    <xf numFmtId="168" fontId="0" fillId="5" borderId="1" xfId="4" applyNumberFormat="1" applyFont="1" applyFill="1" applyBorder="1"/>
    <xf numFmtId="0" fontId="5" fillId="7" borderId="0" xfId="0" applyFont="1" applyFill="1" applyAlignment="1">
      <alignment horizontal="right"/>
    </xf>
    <xf numFmtId="0" fontId="25" fillId="7" borderId="0" xfId="0" applyFont="1" applyFill="1"/>
    <xf numFmtId="0" fontId="14" fillId="7" borderId="0" xfId="0" applyFont="1" applyFill="1" applyAlignment="1">
      <alignment horizontal="center"/>
    </xf>
    <xf numFmtId="0" fontId="20" fillId="7" borderId="0" xfId="0" applyFont="1" applyFill="1" applyAlignment="1">
      <alignment horizontal="center"/>
    </xf>
    <xf numFmtId="0" fontId="0" fillId="5" borderId="2" xfId="0" applyFill="1" applyBorder="1"/>
    <xf numFmtId="0" fontId="0" fillId="5" borderId="3" xfId="0" applyFill="1" applyBorder="1"/>
    <xf numFmtId="0" fontId="0" fillId="5" borderId="4" xfId="0" applyFill="1" applyBorder="1"/>
    <xf numFmtId="0" fontId="22" fillId="5" borderId="2" xfId="0" applyFont="1" applyFill="1" applyBorder="1"/>
    <xf numFmtId="0" fontId="22" fillId="5" borderId="3" xfId="0" applyFont="1" applyFill="1" applyBorder="1"/>
    <xf numFmtId="0" fontId="22" fillId="5" borderId="4" xfId="0" applyFont="1" applyFill="1" applyBorder="1"/>
    <xf numFmtId="170" fontId="0" fillId="8" borderId="1" xfId="1" applyNumberFormat="1" applyFont="1" applyFill="1" applyBorder="1" applyAlignment="1" applyProtection="1">
      <alignment horizontal="left"/>
      <protection locked="0"/>
    </xf>
    <xf numFmtId="171" fontId="0" fillId="8" borderId="1" xfId="1" applyNumberFormat="1" applyFont="1" applyFill="1" applyBorder="1" applyAlignment="1" applyProtection="1">
      <alignment horizontal="left"/>
      <protection locked="0"/>
    </xf>
    <xf numFmtId="0" fontId="31" fillId="7" borderId="0" xfId="0" applyFont="1" applyFill="1"/>
    <xf numFmtId="0" fontId="0" fillId="8" borderId="1" xfId="1" applyNumberFormat="1" applyFont="1" applyFill="1" applyBorder="1" applyAlignment="1" applyProtection="1">
      <alignment horizontal="left"/>
      <protection locked="0"/>
    </xf>
    <xf numFmtId="9" fontId="0" fillId="10" borderId="1" xfId="1" applyNumberFormat="1" applyFont="1" applyFill="1" applyBorder="1" applyAlignment="1" applyProtection="1">
      <alignment horizontal="left"/>
      <protection locked="0"/>
    </xf>
    <xf numFmtId="0" fontId="0" fillId="8" borderId="4" xfId="0" applyFill="1" applyBorder="1" applyAlignment="1" applyProtection="1">
      <alignment horizontal="left"/>
      <protection locked="0"/>
    </xf>
    <xf numFmtId="0" fontId="0" fillId="8" borderId="1" xfId="0" applyFill="1" applyBorder="1" applyAlignment="1" applyProtection="1">
      <alignment horizontal="left"/>
      <protection locked="0"/>
    </xf>
    <xf numFmtId="0" fontId="0" fillId="10" borderId="2" xfId="0" applyFill="1" applyBorder="1" applyAlignment="1" applyProtection="1">
      <alignment horizontal="left"/>
      <protection locked="0"/>
    </xf>
    <xf numFmtId="44" fontId="0" fillId="8" borderId="1" xfId="1" applyFont="1" applyFill="1" applyBorder="1" applyAlignment="1" applyProtection="1">
      <alignment horizontal="left"/>
      <protection locked="0"/>
    </xf>
    <xf numFmtId="0" fontId="0" fillId="10" borderId="1" xfId="0" applyFill="1" applyBorder="1" applyAlignment="1" applyProtection="1">
      <alignment horizontal="left"/>
      <protection locked="0"/>
    </xf>
    <xf numFmtId="14" fontId="0" fillId="8" borderId="1" xfId="0" applyNumberFormat="1" applyFill="1" applyBorder="1" applyAlignment="1" applyProtection="1">
      <alignment horizontal="center"/>
      <protection locked="0"/>
    </xf>
    <xf numFmtId="0" fontId="0" fillId="8" borderId="1" xfId="0" applyFill="1" applyBorder="1" applyProtection="1">
      <protection locked="0"/>
    </xf>
    <xf numFmtId="0" fontId="0" fillId="10" borderId="1" xfId="0" applyFill="1" applyBorder="1" applyAlignment="1" applyProtection="1">
      <alignment horizontal="center"/>
      <protection locked="0"/>
    </xf>
    <xf numFmtId="0" fontId="0" fillId="8" borderId="1" xfId="0" applyFill="1" applyBorder="1" applyAlignment="1" applyProtection="1">
      <alignment horizontal="center"/>
      <protection locked="0"/>
    </xf>
    <xf numFmtId="0" fontId="0" fillId="8" borderId="1" xfId="4" applyNumberFormat="1" applyFont="1" applyFill="1" applyBorder="1" applyAlignment="1" applyProtection="1">
      <alignment horizontal="center"/>
      <protection locked="0"/>
    </xf>
    <xf numFmtId="0" fontId="0" fillId="10" borderId="1" xfId="0" applyFill="1" applyBorder="1" applyAlignment="1" applyProtection="1">
      <alignment horizontal="center" vertical="center"/>
      <protection locked="0"/>
    </xf>
    <xf numFmtId="0" fontId="3" fillId="8" borderId="1" xfId="0" applyFont="1" applyFill="1" applyBorder="1" applyAlignment="1" applyProtection="1">
      <alignment horizontal="center"/>
      <protection locked="0"/>
    </xf>
    <xf numFmtId="43" fontId="0" fillId="8" borderId="1" xfId="4" applyFont="1" applyFill="1" applyBorder="1" applyAlignment="1" applyProtection="1">
      <alignment horizontal="center"/>
      <protection locked="0"/>
    </xf>
    <xf numFmtId="0" fontId="0" fillId="7" borderId="0" xfId="0" applyFill="1" applyAlignment="1" applyProtection="1">
      <alignment horizontal="right"/>
      <protection locked="0"/>
    </xf>
    <xf numFmtId="167" fontId="0" fillId="7" borderId="0" xfId="0" applyNumberFormat="1" applyFill="1" applyAlignment="1" applyProtection="1">
      <alignment horizontal="right"/>
      <protection locked="0"/>
    </xf>
    <xf numFmtId="14" fontId="0" fillId="7" borderId="0" xfId="0" applyNumberFormat="1" applyFill="1" applyAlignment="1" applyProtection="1">
      <alignment horizontal="right"/>
      <protection locked="0"/>
    </xf>
    <xf numFmtId="0" fontId="5" fillId="2" borderId="3" xfId="0" applyFont="1" applyFill="1" applyBorder="1" applyAlignment="1">
      <alignment horizontal="left"/>
    </xf>
    <xf numFmtId="0" fontId="0" fillId="6" borderId="3" xfId="0" applyFill="1" applyBorder="1" applyAlignment="1">
      <alignment horizontal="left"/>
    </xf>
    <xf numFmtId="0" fontId="11" fillId="7" borderId="0" xfId="0" applyFont="1" applyFill="1"/>
    <xf numFmtId="0" fontId="0" fillId="3" borderId="0" xfId="0" applyFill="1"/>
    <xf numFmtId="0" fontId="11" fillId="3" borderId="0" xfId="0" applyFont="1" applyFill="1"/>
    <xf numFmtId="0" fontId="0" fillId="3" borderId="0" xfId="0" applyFill="1" applyAlignment="1">
      <alignment horizontal="left"/>
    </xf>
    <xf numFmtId="0" fontId="0" fillId="7" borderId="0" xfId="0" applyFill="1" applyAlignment="1">
      <alignment vertical="center"/>
    </xf>
    <xf numFmtId="0" fontId="0" fillId="5" borderId="1" xfId="0" applyFill="1" applyBorder="1" applyAlignment="1">
      <alignment horizontal="left"/>
    </xf>
    <xf numFmtId="171" fontId="0" fillId="8" borderId="1" xfId="0" applyNumberFormat="1" applyFill="1" applyBorder="1" applyAlignment="1" applyProtection="1">
      <alignment horizontal="left"/>
      <protection locked="0"/>
    </xf>
    <xf numFmtId="0" fontId="0" fillId="10" borderId="1" xfId="0" applyFill="1" applyBorder="1" applyProtection="1">
      <protection locked="0"/>
    </xf>
    <xf numFmtId="0" fontId="0" fillId="7" borderId="0" xfId="0" applyFill="1" applyProtection="1">
      <protection locked="0"/>
    </xf>
    <xf numFmtId="0" fontId="5" fillId="2" borderId="3" xfId="0" applyFont="1" applyFill="1" applyBorder="1" applyProtection="1">
      <protection locked="0"/>
    </xf>
    <xf numFmtId="0" fontId="0" fillId="6" borderId="3" xfId="0" applyFill="1" applyBorder="1" applyProtection="1">
      <protection locked="0"/>
    </xf>
    <xf numFmtId="0" fontId="4" fillId="7" borderId="0" xfId="0" applyFont="1" applyFill="1" applyAlignment="1" applyProtection="1">
      <alignment wrapText="1"/>
      <protection locked="0"/>
    </xf>
    <xf numFmtId="0" fontId="0" fillId="7" borderId="0" xfId="0" applyFill="1" applyAlignment="1" applyProtection="1">
      <alignment wrapText="1"/>
      <protection locked="0"/>
    </xf>
    <xf numFmtId="0" fontId="0" fillId="7" borderId="0" xfId="0" applyFill="1" applyAlignment="1" applyProtection="1">
      <alignment vertical="center"/>
      <protection locked="0"/>
    </xf>
    <xf numFmtId="0" fontId="0" fillId="7" borderId="0" xfId="0" applyFill="1" applyAlignment="1" applyProtection="1">
      <alignment horizontal="left" wrapText="1"/>
      <protection locked="0"/>
    </xf>
    <xf numFmtId="44" fontId="0" fillId="8" borderId="1" xfId="1" applyFont="1" applyFill="1" applyBorder="1" applyAlignment="1" applyProtection="1">
      <alignment horizontal="center"/>
      <protection locked="0"/>
    </xf>
    <xf numFmtId="44" fontId="0" fillId="8" borderId="1" xfId="1" applyFont="1" applyFill="1" applyBorder="1" applyProtection="1">
      <protection locked="0"/>
    </xf>
    <xf numFmtId="172" fontId="0" fillId="8" borderId="1" xfId="2" applyNumberFormat="1" applyFont="1" applyFill="1" applyBorder="1" applyAlignment="1" applyProtection="1">
      <alignment horizontal="center"/>
      <protection locked="0"/>
    </xf>
    <xf numFmtId="0" fontId="0" fillId="8" borderId="1" xfId="1" applyNumberFormat="1" applyFont="1" applyFill="1" applyBorder="1" applyAlignment="1" applyProtection="1">
      <alignment horizontal="center"/>
      <protection locked="0"/>
    </xf>
    <xf numFmtId="0" fontId="0" fillId="8" borderId="1" xfId="2" applyNumberFormat="1" applyFont="1" applyFill="1" applyBorder="1" applyAlignment="1" applyProtection="1">
      <alignment horizontal="center"/>
      <protection locked="0"/>
    </xf>
    <xf numFmtId="44" fontId="0" fillId="10" borderId="1" xfId="1" applyFont="1" applyFill="1" applyBorder="1" applyAlignment="1" applyProtection="1">
      <protection locked="0"/>
    </xf>
    <xf numFmtId="44" fontId="0" fillId="8" borderId="1" xfId="1" applyFont="1" applyFill="1" applyBorder="1" applyAlignment="1" applyProtection="1">
      <alignment horizontal="right"/>
      <protection locked="0"/>
    </xf>
    <xf numFmtId="44" fontId="0" fillId="16" borderId="4" xfId="1" applyFont="1" applyFill="1" applyBorder="1" applyProtection="1">
      <protection locked="0"/>
    </xf>
    <xf numFmtId="44" fontId="0" fillId="16" borderId="1" xfId="1" applyFont="1" applyFill="1" applyBorder="1" applyProtection="1">
      <protection locked="0"/>
    </xf>
    <xf numFmtId="44" fontId="0" fillId="8" borderId="4" xfId="1" applyFont="1" applyFill="1" applyBorder="1" applyProtection="1">
      <protection locked="0"/>
    </xf>
    <xf numFmtId="44" fontId="0" fillId="16" borderId="30" xfId="1" applyFont="1" applyFill="1" applyBorder="1" applyProtection="1">
      <protection locked="0"/>
    </xf>
    <xf numFmtId="44" fontId="0" fillId="16" borderId="26" xfId="1" applyFont="1" applyFill="1" applyBorder="1" applyProtection="1">
      <protection locked="0"/>
    </xf>
    <xf numFmtId="0" fontId="0" fillId="7" borderId="0" xfId="0" applyFill="1" applyAlignment="1" applyProtection="1">
      <alignment horizontal="center" wrapText="1"/>
      <protection locked="0"/>
    </xf>
    <xf numFmtId="0" fontId="0" fillId="7" borderId="0" xfId="0" applyFill="1" applyAlignment="1" applyProtection="1">
      <alignment horizontal="center" vertical="center" wrapText="1"/>
      <protection locked="0"/>
    </xf>
    <xf numFmtId="10" fontId="0" fillId="5" borderId="1" xfId="2" applyNumberFormat="1" applyFont="1" applyFill="1" applyBorder="1" applyProtection="1"/>
    <xf numFmtId="10" fontId="5" fillId="5" borderId="1" xfId="2" applyNumberFormat="1" applyFont="1" applyFill="1" applyBorder="1" applyProtection="1"/>
    <xf numFmtId="44" fontId="0" fillId="13" borderId="1" xfId="0" applyNumberFormat="1" applyFill="1" applyBorder="1"/>
    <xf numFmtId="44" fontId="0" fillId="13" borderId="1" xfId="1" applyFont="1" applyFill="1" applyBorder="1" applyProtection="1"/>
    <xf numFmtId="0" fontId="5" fillId="13" borderId="1" xfId="0" applyFont="1" applyFill="1" applyBorder="1"/>
    <xf numFmtId="0" fontId="0" fillId="13" borderId="1" xfId="0" applyFill="1" applyBorder="1"/>
    <xf numFmtId="10" fontId="0" fillId="13" borderId="1" xfId="0" applyNumberFormat="1" applyFill="1" applyBorder="1"/>
    <xf numFmtId="9" fontId="0" fillId="13" borderId="1" xfId="2" applyFont="1" applyFill="1" applyBorder="1" applyProtection="1"/>
    <xf numFmtId="44" fontId="2" fillId="9" borderId="1" xfId="0" applyNumberFormat="1" applyFont="1" applyFill="1" applyBorder="1"/>
    <xf numFmtId="9" fontId="0" fillId="5" borderId="1" xfId="0" applyNumberFormat="1" applyFill="1" applyBorder="1"/>
    <xf numFmtId="44" fontId="0" fillId="5" borderId="1" xfId="1" applyFont="1" applyFill="1" applyBorder="1" applyProtection="1"/>
    <xf numFmtId="44" fontId="0" fillId="7" borderId="0" xfId="1" applyFont="1" applyFill="1" applyProtection="1"/>
    <xf numFmtId="2" fontId="0" fillId="5" borderId="1" xfId="0" applyNumberFormat="1" applyFill="1" applyBorder="1"/>
    <xf numFmtId="0" fontId="2" fillId="9" borderId="30" xfId="0" applyFont="1" applyFill="1" applyBorder="1"/>
    <xf numFmtId="9" fontId="2" fillId="9" borderId="1" xfId="2" applyFont="1" applyFill="1" applyBorder="1" applyAlignment="1" applyProtection="1">
      <alignment horizontal="right"/>
    </xf>
    <xf numFmtId="164" fontId="0" fillId="5" borderId="1" xfId="2" applyNumberFormat="1" applyFont="1" applyFill="1" applyBorder="1" applyProtection="1"/>
    <xf numFmtId="164" fontId="0" fillId="5" borderId="1" xfId="0" applyNumberFormat="1" applyFill="1" applyBorder="1"/>
    <xf numFmtId="9" fontId="0" fillId="5" borderId="1" xfId="2" applyFont="1" applyFill="1" applyBorder="1" applyAlignment="1" applyProtection="1">
      <alignment horizontal="left"/>
    </xf>
    <xf numFmtId="0" fontId="8" fillId="8" borderId="6" xfId="0" applyFont="1" applyFill="1" applyBorder="1"/>
    <xf numFmtId="0" fontId="0" fillId="8" borderId="7" xfId="0" applyFill="1" applyBorder="1"/>
    <xf numFmtId="0" fontId="0" fillId="8" borderId="8" xfId="0" applyFill="1" applyBorder="1"/>
    <xf numFmtId="0" fontId="0" fillId="8" borderId="9" xfId="0" applyFill="1" applyBorder="1"/>
    <xf numFmtId="0" fontId="0" fillId="8" borderId="0" xfId="0" applyFill="1"/>
    <xf numFmtId="0" fontId="0" fillId="8" borderId="10" xfId="0" applyFill="1" applyBorder="1"/>
    <xf numFmtId="9" fontId="0" fillId="8" borderId="0" xfId="0" applyNumberFormat="1" applyFill="1"/>
    <xf numFmtId="0" fontId="20" fillId="8" borderId="0" xfId="0" applyFont="1" applyFill="1"/>
    <xf numFmtId="0" fontId="0" fillId="8" borderId="11" xfId="0" applyFill="1" applyBorder="1"/>
    <xf numFmtId="0" fontId="0" fillId="8" borderId="12" xfId="0" applyFill="1" applyBorder="1"/>
    <xf numFmtId="0" fontId="0" fillId="8" borderId="13" xfId="0" applyFill="1" applyBorder="1"/>
    <xf numFmtId="0" fontId="6" fillId="2" borderId="3" xfId="0" applyFont="1" applyFill="1" applyBorder="1"/>
    <xf numFmtId="0" fontId="7" fillId="6" borderId="3" xfId="0" applyFont="1" applyFill="1" applyBorder="1"/>
    <xf numFmtId="0" fontId="0" fillId="7" borderId="39" xfId="0" applyFill="1" applyBorder="1"/>
    <xf numFmtId="172" fontId="0" fillId="8" borderId="1" xfId="2" applyNumberFormat="1" applyFont="1" applyFill="1" applyBorder="1" applyProtection="1">
      <protection locked="0"/>
    </xf>
    <xf numFmtId="0" fontId="0" fillId="7" borderId="0" xfId="0" applyFill="1" applyAlignment="1">
      <alignment horizontal="center"/>
    </xf>
    <xf numFmtId="9" fontId="0" fillId="7" borderId="0" xfId="2" applyFont="1" applyFill="1" applyAlignment="1" applyProtection="1">
      <alignment horizontal="center"/>
    </xf>
    <xf numFmtId="0" fontId="0" fillId="0" borderId="0" xfId="0" applyAlignment="1">
      <alignment horizontal="center"/>
    </xf>
    <xf numFmtId="0" fontId="0" fillId="0" borderId="0" xfId="0" applyAlignment="1">
      <alignment horizontal="left"/>
    </xf>
    <xf numFmtId="9" fontId="0" fillId="0" borderId="0" xfId="2" applyFont="1" applyAlignment="1" applyProtection="1">
      <alignment horizontal="center"/>
    </xf>
    <xf numFmtId="0" fontId="0" fillId="0" borderId="0" xfId="0" applyProtection="1">
      <protection locked="0"/>
    </xf>
    <xf numFmtId="44" fontId="0" fillId="7" borderId="0" xfId="1" applyFont="1" applyFill="1" applyProtection="1">
      <protection locked="0"/>
    </xf>
    <xf numFmtId="173" fontId="0" fillId="8" borderId="1" xfId="1" applyNumberFormat="1" applyFont="1" applyFill="1" applyBorder="1" applyAlignment="1" applyProtection="1">
      <alignment horizontal="left"/>
      <protection locked="0"/>
    </xf>
    <xf numFmtId="2" fontId="0" fillId="8" borderId="1" xfId="0" applyNumberFormat="1" applyFill="1" applyBorder="1" applyAlignment="1" applyProtection="1">
      <alignment horizontal="left"/>
      <protection locked="0"/>
    </xf>
    <xf numFmtId="0" fontId="32" fillId="7" borderId="0" xfId="0" applyFont="1" applyFill="1"/>
    <xf numFmtId="0" fontId="33" fillId="9" borderId="4" xfId="0" applyFont="1" applyFill="1" applyBorder="1" applyAlignment="1">
      <alignment horizontal="center" vertical="center" wrapText="1"/>
    </xf>
    <xf numFmtId="0" fontId="0" fillId="3" borderId="5" xfId="0" applyFill="1" applyBorder="1"/>
    <xf numFmtId="0" fontId="0" fillId="3" borderId="26" xfId="0" applyFill="1" applyBorder="1"/>
    <xf numFmtId="0" fontId="12" fillId="3" borderId="18" xfId="0" applyFont="1" applyFill="1" applyBorder="1"/>
    <xf numFmtId="0" fontId="0" fillId="3" borderId="27" xfId="0" applyFill="1" applyBorder="1"/>
    <xf numFmtId="0" fontId="0" fillId="3" borderId="18" xfId="0" applyFill="1" applyBorder="1"/>
    <xf numFmtId="0" fontId="0" fillId="3" borderId="0" xfId="0" applyFill="1" applyAlignment="1">
      <alignment horizontal="right"/>
    </xf>
    <xf numFmtId="0" fontId="0" fillId="3" borderId="38" xfId="0" applyFill="1" applyBorder="1"/>
    <xf numFmtId="0" fontId="0" fillId="3" borderId="29" xfId="0" applyFill="1" applyBorder="1"/>
    <xf numFmtId="0" fontId="12" fillId="3" borderId="28" xfId="0" applyFont="1" applyFill="1" applyBorder="1"/>
    <xf numFmtId="14" fontId="0" fillId="8" borderId="1" xfId="1" applyNumberFormat="1" applyFont="1" applyFill="1" applyBorder="1" applyAlignment="1" applyProtection="1">
      <alignment horizontal="left"/>
      <protection locked="0"/>
    </xf>
    <xf numFmtId="174" fontId="0" fillId="8" borderId="1" xfId="1" applyNumberFormat="1" applyFont="1" applyFill="1" applyBorder="1" applyAlignment="1" applyProtection="1">
      <alignment horizontal="left"/>
      <protection locked="0"/>
    </xf>
    <xf numFmtId="9" fontId="0" fillId="5" borderId="1" xfId="2" applyFont="1" applyFill="1" applyBorder="1" applyAlignment="1" applyProtection="1">
      <alignment horizontal="center"/>
    </xf>
    <xf numFmtId="0" fontId="0" fillId="5" borderId="1" xfId="2" applyNumberFormat="1" applyFont="1" applyFill="1" applyBorder="1" applyAlignment="1" applyProtection="1">
      <alignment horizontal="center"/>
    </xf>
    <xf numFmtId="0" fontId="0" fillId="7" borderId="0" xfId="0" applyFill="1" applyAlignment="1">
      <alignment horizontal="left" vertical="top" wrapText="1"/>
    </xf>
    <xf numFmtId="0" fontId="0" fillId="7" borderId="0" xfId="0" applyFill="1" applyAlignment="1">
      <alignment horizontal="right" vertical="top" wrapText="1"/>
    </xf>
    <xf numFmtId="0" fontId="2" fillId="2" borderId="1" xfId="0" applyFont="1" applyFill="1" applyBorder="1" applyAlignment="1">
      <alignment horizontal="center"/>
    </xf>
    <xf numFmtId="0" fontId="3" fillId="7" borderId="0" xfId="0" applyFont="1" applyFill="1" applyProtection="1">
      <protection locked="0"/>
    </xf>
    <xf numFmtId="0" fontId="26" fillId="7" borderId="0" xfId="0" applyFont="1" applyFill="1" applyProtection="1">
      <protection locked="0"/>
    </xf>
    <xf numFmtId="0" fontId="0" fillId="7" borderId="0" xfId="0" quotePrefix="1" applyFill="1" applyAlignment="1" applyProtection="1">
      <alignment horizontal="left" wrapText="1" indent="2"/>
      <protection locked="0"/>
    </xf>
    <xf numFmtId="0" fontId="0" fillId="7" borderId="0" xfId="0" applyFill="1" applyAlignment="1" applyProtection="1">
      <alignment horizontal="left" wrapText="1" indent="2"/>
      <protection locked="0"/>
    </xf>
    <xf numFmtId="0" fontId="0" fillId="7" borderId="0" xfId="0" applyFill="1" applyAlignment="1" applyProtection="1">
      <alignment horizontal="left" vertical="top" wrapText="1"/>
      <protection locked="0"/>
    </xf>
    <xf numFmtId="0" fontId="0" fillId="10" borderId="1" xfId="1" applyNumberFormat="1" applyFont="1" applyFill="1" applyBorder="1" applyAlignment="1" applyProtection="1">
      <alignment horizontal="center"/>
      <protection locked="0"/>
    </xf>
    <xf numFmtId="0" fontId="0" fillId="12" borderId="1" xfId="0" applyFill="1" applyBorder="1"/>
    <xf numFmtId="0" fontId="5" fillId="7" borderId="18" xfId="0" applyFont="1" applyFill="1" applyBorder="1" applyAlignment="1">
      <alignment horizontal="right"/>
    </xf>
    <xf numFmtId="1" fontId="0" fillId="5" borderId="1" xfId="1" applyNumberFormat="1" applyFont="1" applyFill="1" applyBorder="1" applyProtection="1"/>
    <xf numFmtId="0" fontId="0" fillId="5" borderId="1" xfId="1" applyNumberFormat="1" applyFont="1" applyFill="1" applyBorder="1" applyProtection="1"/>
    <xf numFmtId="0" fontId="0" fillId="11" borderId="2" xfId="0" applyFill="1" applyBorder="1" applyAlignment="1" applyProtection="1">
      <alignment horizontal="center"/>
      <protection locked="0"/>
    </xf>
    <xf numFmtId="0" fontId="0" fillId="11" borderId="1" xfId="0" applyFill="1" applyBorder="1" applyAlignment="1" applyProtection="1">
      <alignment horizontal="center"/>
      <protection locked="0"/>
    </xf>
    <xf numFmtId="0" fontId="36" fillId="7" borderId="0" xfId="0" applyFont="1" applyFill="1" applyAlignment="1">
      <alignment horizontal="right"/>
    </xf>
    <xf numFmtId="0" fontId="0" fillId="5" borderId="0" xfId="0" applyFill="1"/>
    <xf numFmtId="0" fontId="0" fillId="5" borderId="18" xfId="0" applyFill="1" applyBorder="1"/>
    <xf numFmtId="0" fontId="0" fillId="17" borderId="1" xfId="0" applyFill="1" applyBorder="1" applyAlignment="1" applyProtection="1">
      <alignment horizontal="center"/>
      <protection locked="0"/>
    </xf>
    <xf numFmtId="9" fontId="0" fillId="17" borderId="1" xfId="2" applyFont="1" applyFill="1" applyBorder="1" applyAlignment="1" applyProtection="1">
      <alignment horizontal="center"/>
      <protection locked="0"/>
    </xf>
    <xf numFmtId="0" fontId="28" fillId="7" borderId="0" xfId="0" applyFont="1" applyFill="1" applyAlignment="1">
      <alignment horizontal="right"/>
    </xf>
    <xf numFmtId="0" fontId="37" fillId="2" borderId="3" xfId="0" applyFont="1" applyFill="1" applyBorder="1"/>
    <xf numFmtId="0" fontId="39" fillId="9" borderId="3" xfId="0" applyFont="1" applyFill="1" applyBorder="1" applyAlignment="1">
      <alignment horizontal="left"/>
    </xf>
    <xf numFmtId="0" fontId="6" fillId="2" borderId="0" xfId="0" applyFont="1" applyFill="1"/>
    <xf numFmtId="0" fontId="5" fillId="2" borderId="0" xfId="0" applyFont="1" applyFill="1"/>
    <xf numFmtId="0" fontId="7" fillId="6" borderId="0" xfId="0" applyFont="1" applyFill="1"/>
    <xf numFmtId="0" fontId="14" fillId="6" borderId="0" xfId="0" applyFont="1" applyFill="1"/>
    <xf numFmtId="0" fontId="0" fillId="21" borderId="0" xfId="0" applyFill="1"/>
    <xf numFmtId="0" fontId="0" fillId="15" borderId="0" xfId="0" applyFill="1"/>
    <xf numFmtId="44" fontId="0" fillId="5" borderId="0" xfId="0" applyNumberFormat="1" applyFill="1"/>
    <xf numFmtId="0" fontId="0" fillId="14" borderId="0" xfId="0" applyFill="1"/>
    <xf numFmtId="0" fontId="0" fillId="19" borderId="0" xfId="0" applyFill="1"/>
    <xf numFmtId="0" fontId="0" fillId="8" borderId="2" xfId="0" applyFill="1" applyBorder="1" applyAlignment="1" applyProtection="1">
      <alignment horizontal="left"/>
      <protection locked="0"/>
    </xf>
    <xf numFmtId="0" fontId="4" fillId="7" borderId="0" xfId="0" applyFont="1" applyFill="1" applyAlignment="1">
      <alignment horizontal="right"/>
    </xf>
    <xf numFmtId="44" fontId="0" fillId="16" borderId="1" xfId="1" applyFont="1" applyFill="1" applyBorder="1" applyAlignment="1" applyProtection="1">
      <alignment horizontal="center"/>
      <protection locked="0"/>
    </xf>
    <xf numFmtId="0" fontId="0" fillId="7" borderId="0" xfId="0" applyFill="1" applyAlignment="1" applyProtection="1">
      <alignment horizontal="left"/>
      <protection locked="0"/>
    </xf>
    <xf numFmtId="0" fontId="2" fillId="9" borderId="2" xfId="0" applyFont="1" applyFill="1" applyBorder="1" applyAlignment="1">
      <alignment horizontal="center" vertical="center" wrapText="1"/>
    </xf>
    <xf numFmtId="0" fontId="0" fillId="5" borderId="1" xfId="2" applyNumberFormat="1" applyFont="1" applyFill="1" applyBorder="1" applyProtection="1"/>
    <xf numFmtId="44" fontId="25" fillId="7" borderId="0" xfId="1" applyFont="1" applyFill="1"/>
    <xf numFmtId="44" fontId="25" fillId="7" borderId="0" xfId="0" applyNumberFormat="1" applyFont="1" applyFill="1"/>
    <xf numFmtId="0" fontId="0" fillId="12" borderId="0" xfId="0" applyFill="1"/>
    <xf numFmtId="0" fontId="0" fillId="6" borderId="4" xfId="0" applyFill="1" applyBorder="1"/>
    <xf numFmtId="0" fontId="5" fillId="2" borderId="4" xfId="0" applyFont="1" applyFill="1" applyBorder="1"/>
    <xf numFmtId="10" fontId="0" fillId="18" borderId="1" xfId="2" applyNumberFormat="1" applyFont="1" applyFill="1" applyBorder="1" applyAlignment="1" applyProtection="1">
      <alignment horizontal="left"/>
    </xf>
    <xf numFmtId="0" fontId="4" fillId="7" borderId="0" xfId="0" applyFont="1" applyFill="1" applyAlignment="1">
      <alignment horizontal="left"/>
    </xf>
    <xf numFmtId="42" fontId="0" fillId="16" borderId="4" xfId="1" applyNumberFormat="1" applyFont="1" applyFill="1" applyBorder="1" applyProtection="1">
      <protection locked="0"/>
    </xf>
    <xf numFmtId="42" fontId="0" fillId="16" borderId="1" xfId="1" applyNumberFormat="1" applyFont="1" applyFill="1" applyBorder="1" applyProtection="1">
      <protection locked="0"/>
    </xf>
    <xf numFmtId="42" fontId="0" fillId="8" borderId="1" xfId="1" applyNumberFormat="1" applyFont="1" applyFill="1" applyBorder="1" applyProtection="1">
      <protection locked="0"/>
    </xf>
    <xf numFmtId="42" fontId="0" fillId="8" borderId="4" xfId="1" applyNumberFormat="1" applyFont="1" applyFill="1" applyBorder="1" applyProtection="1">
      <protection locked="0"/>
    </xf>
    <xf numFmtId="42" fontId="0" fillId="8" borderId="26" xfId="1" applyNumberFormat="1" applyFont="1" applyFill="1" applyBorder="1" applyProtection="1">
      <protection locked="0"/>
    </xf>
    <xf numFmtId="42" fontId="0" fillId="16" borderId="30" xfId="1" applyNumberFormat="1" applyFont="1" applyFill="1" applyBorder="1" applyProtection="1">
      <protection locked="0"/>
    </xf>
    <xf numFmtId="42" fontId="0" fillId="5" borderId="1" xfId="1" applyNumberFormat="1" applyFont="1" applyFill="1" applyBorder="1"/>
    <xf numFmtId="42" fontId="0" fillId="8" borderId="30" xfId="1" applyNumberFormat="1" applyFont="1" applyFill="1" applyBorder="1" applyProtection="1">
      <protection locked="0"/>
    </xf>
    <xf numFmtId="42" fontId="0" fillId="16" borderId="26" xfId="1" applyNumberFormat="1" applyFont="1" applyFill="1" applyBorder="1" applyProtection="1">
      <protection locked="0"/>
    </xf>
    <xf numFmtId="42" fontId="2" fillId="2" borderId="1" xfId="1" applyNumberFormat="1" applyFont="1" applyFill="1" applyBorder="1"/>
    <xf numFmtId="42" fontId="0" fillId="5" borderId="4" xfId="0" applyNumberFormat="1" applyFill="1" applyBorder="1" applyAlignment="1">
      <alignment horizontal="left"/>
    </xf>
    <xf numFmtId="42" fontId="0" fillId="9" borderId="3" xfId="0" applyNumberFormat="1" applyFill="1" applyBorder="1"/>
    <xf numFmtId="42" fontId="0" fillId="9" borderId="3" xfId="1" applyNumberFormat="1" applyFont="1" applyFill="1" applyBorder="1"/>
    <xf numFmtId="42" fontId="0" fillId="9" borderId="4" xfId="0" applyNumberFormat="1" applyFill="1" applyBorder="1"/>
    <xf numFmtId="42" fontId="2" fillId="2" borderId="29" xfId="0" applyNumberFormat="1" applyFont="1" applyFill="1" applyBorder="1" applyAlignment="1">
      <alignment horizontal="left"/>
    </xf>
    <xf numFmtId="42" fontId="0" fillId="5" borderId="1" xfId="0" applyNumberFormat="1" applyFill="1" applyBorder="1"/>
    <xf numFmtId="0" fontId="5" fillId="5" borderId="1" xfId="0" applyFont="1" applyFill="1" applyBorder="1"/>
    <xf numFmtId="42" fontId="0" fillId="8" borderId="1" xfId="1" applyNumberFormat="1" applyFont="1" applyFill="1" applyBorder="1" applyAlignment="1" applyProtection="1">
      <alignment horizontal="center"/>
      <protection locked="0"/>
    </xf>
    <xf numFmtId="42" fontId="0" fillId="5" borderId="1" xfId="1" applyNumberFormat="1" applyFont="1" applyFill="1" applyBorder="1" applyAlignment="1">
      <alignment horizontal="center"/>
    </xf>
    <xf numFmtId="42" fontId="0" fillId="9" borderId="3" xfId="0" applyNumberFormat="1" applyFill="1" applyBorder="1" applyAlignment="1">
      <alignment horizontal="left"/>
    </xf>
    <xf numFmtId="42" fontId="0" fillId="9" borderId="4" xfId="1" applyNumberFormat="1" applyFont="1" applyFill="1" applyBorder="1" applyAlignment="1">
      <alignment horizontal="left"/>
    </xf>
    <xf numFmtId="42" fontId="2" fillId="9" borderId="1" xfId="1" applyNumberFormat="1" applyFont="1" applyFill="1" applyBorder="1"/>
    <xf numFmtId="42" fontId="3" fillId="5" borderId="1" xfId="1" applyNumberFormat="1" applyFont="1" applyFill="1" applyBorder="1"/>
    <xf numFmtId="42" fontId="0" fillId="7" borderId="0" xfId="0" applyNumberFormat="1" applyFill="1"/>
    <xf numFmtId="42" fontId="2" fillId="9" borderId="1" xfId="0" applyNumberFormat="1" applyFont="1" applyFill="1" applyBorder="1" applyAlignment="1">
      <alignment horizontal="center"/>
    </xf>
    <xf numFmtId="42" fontId="15" fillId="7" borderId="0" xfId="1" applyNumberFormat="1" applyFont="1" applyFill="1" applyBorder="1"/>
    <xf numFmtId="42" fontId="2" fillId="7" borderId="0" xfId="1" applyNumberFormat="1" applyFont="1" applyFill="1" applyBorder="1"/>
    <xf numFmtId="42" fontId="0" fillId="7" borderId="0" xfId="1" applyNumberFormat="1" applyFont="1" applyFill="1"/>
    <xf numFmtId="42" fontId="15" fillId="7" borderId="0" xfId="0" applyNumberFormat="1" applyFont="1" applyFill="1"/>
    <xf numFmtId="0" fontId="0" fillId="7" borderId="0" xfId="0" applyFill="1" applyAlignment="1">
      <alignment horizontal="left" vertical="top"/>
    </xf>
    <xf numFmtId="0" fontId="0" fillId="7" borderId="1" xfId="0" applyFill="1" applyBorder="1" applyAlignment="1">
      <alignment horizontal="center" vertical="center"/>
    </xf>
    <xf numFmtId="0" fontId="42" fillId="7" borderId="0" xfId="0" applyFont="1" applyFill="1"/>
    <xf numFmtId="0" fontId="5" fillId="7" borderId="0" xfId="0" applyFont="1" applyFill="1" applyAlignment="1">
      <alignment horizontal="left"/>
    </xf>
    <xf numFmtId="0" fontId="0" fillId="5" borderId="1" xfId="1" applyNumberFormat="1" applyFont="1" applyFill="1" applyBorder="1" applyAlignment="1" applyProtection="1">
      <alignment horizontal="left"/>
    </xf>
    <xf numFmtId="0" fontId="0" fillId="5" borderId="19" xfId="1" applyNumberFormat="1" applyFont="1" applyFill="1" applyBorder="1" applyAlignment="1" applyProtection="1">
      <alignment horizontal="left"/>
    </xf>
    <xf numFmtId="0" fontId="0" fillId="17" borderId="2" xfId="0" applyFill="1" applyBorder="1" applyAlignment="1" applyProtection="1">
      <alignment horizontal="center"/>
      <protection locked="0"/>
    </xf>
    <xf numFmtId="9" fontId="0" fillId="17" borderId="2" xfId="2" applyFont="1" applyFill="1" applyBorder="1" applyAlignment="1" applyProtection="1">
      <alignment horizontal="center"/>
      <protection locked="0"/>
    </xf>
    <xf numFmtId="0" fontId="2" fillId="16" borderId="2" xfId="0" applyFont="1" applyFill="1" applyBorder="1" applyAlignment="1">
      <alignment horizontal="left"/>
    </xf>
    <xf numFmtId="0" fontId="2" fillId="16" borderId="3" xfId="0" applyFont="1" applyFill="1" applyBorder="1" applyAlignment="1">
      <alignment horizontal="left"/>
    </xf>
    <xf numFmtId="0" fontId="2" fillId="16" borderId="4" xfId="0" applyFont="1" applyFill="1" applyBorder="1" applyAlignment="1">
      <alignment horizontal="left"/>
    </xf>
    <xf numFmtId="0" fontId="5" fillId="7" borderId="0" xfId="0" applyFont="1" applyFill="1" applyAlignment="1">
      <alignment wrapText="1"/>
    </xf>
    <xf numFmtId="0" fontId="0" fillId="0" borderId="0" xfId="0" applyAlignment="1">
      <alignment horizontal="right"/>
    </xf>
    <xf numFmtId="0" fontId="6" fillId="2" borderId="0" xfId="0" applyFont="1" applyFill="1" applyAlignment="1">
      <alignment horizontal="left"/>
    </xf>
    <xf numFmtId="0" fontId="0" fillId="19" borderId="0" xfId="0" applyFill="1" applyAlignment="1">
      <alignment horizontal="left"/>
    </xf>
    <xf numFmtId="43" fontId="0" fillId="21" borderId="0" xfId="0" applyNumberFormat="1" applyFill="1" applyAlignment="1">
      <alignment horizontal="left"/>
    </xf>
    <xf numFmtId="0" fontId="0" fillId="15" borderId="0" xfId="0" applyFill="1" applyAlignment="1">
      <alignment horizontal="left"/>
    </xf>
    <xf numFmtId="10" fontId="0" fillId="15" borderId="0" xfId="0" applyNumberFormat="1" applyFill="1" applyAlignment="1">
      <alignment horizontal="left"/>
    </xf>
    <xf numFmtId="44" fontId="0" fillId="5" borderId="0" xfId="0" applyNumberFormat="1" applyFill="1" applyAlignment="1">
      <alignment horizontal="left"/>
    </xf>
    <xf numFmtId="0" fontId="0" fillId="5" borderId="0" xfId="0" applyFill="1" applyAlignment="1">
      <alignment horizontal="left"/>
    </xf>
    <xf numFmtId="14" fontId="0" fillId="0" borderId="0" xfId="0" applyNumberFormat="1" applyAlignment="1">
      <alignment horizontal="left"/>
    </xf>
    <xf numFmtId="0" fontId="0" fillId="14" borderId="0" xfId="0" applyFill="1" applyAlignment="1">
      <alignment horizontal="left"/>
    </xf>
    <xf numFmtId="44" fontId="0" fillId="12" borderId="0" xfId="0" applyNumberFormat="1" applyFill="1" applyAlignment="1">
      <alignment horizontal="left"/>
    </xf>
    <xf numFmtId="0" fontId="48" fillId="20" borderId="0" xfId="7" applyFont="1" applyFill="1"/>
    <xf numFmtId="0" fontId="48" fillId="0" borderId="0" xfId="7" applyFont="1"/>
    <xf numFmtId="0" fontId="49" fillId="20" borderId="0" xfId="0" quotePrefix="1" applyFont="1" applyFill="1"/>
    <xf numFmtId="0" fontId="49" fillId="20" borderId="49" xfId="0" applyFont="1" applyFill="1" applyBorder="1" applyAlignment="1">
      <alignment horizontal="left"/>
    </xf>
    <xf numFmtId="0" fontId="48" fillId="20" borderId="50" xfId="0" applyFont="1" applyFill="1" applyBorder="1"/>
    <xf numFmtId="176" fontId="50" fillId="20" borderId="50" xfId="0" applyNumberFormat="1" applyFont="1" applyFill="1" applyBorder="1"/>
    <xf numFmtId="176" fontId="50" fillId="20" borderId="51" xfId="0" applyNumberFormat="1" applyFont="1" applyFill="1" applyBorder="1"/>
    <xf numFmtId="0" fontId="49" fillId="20" borderId="52" xfId="0" applyFont="1" applyFill="1" applyBorder="1" applyAlignment="1">
      <alignment horizontal="left"/>
    </xf>
    <xf numFmtId="0" fontId="48" fillId="20" borderId="0" xfId="0" applyFont="1" applyFill="1"/>
    <xf numFmtId="176" fontId="50" fillId="20" borderId="0" xfId="0" applyNumberFormat="1" applyFont="1" applyFill="1"/>
    <xf numFmtId="0" fontId="48" fillId="20" borderId="49" xfId="0" applyFont="1" applyFill="1" applyBorder="1"/>
    <xf numFmtId="0" fontId="53" fillId="20" borderId="0" xfId="0" applyFont="1" applyFill="1"/>
    <xf numFmtId="0" fontId="53" fillId="20" borderId="54" xfId="0" applyFont="1" applyFill="1" applyBorder="1" applyAlignment="1">
      <alignment vertical="center"/>
    </xf>
    <xf numFmtId="0" fontId="48" fillId="20" borderId="55" xfId="0" applyFont="1" applyFill="1" applyBorder="1"/>
    <xf numFmtId="0" fontId="54" fillId="20" borderId="57" xfId="0" applyFont="1" applyFill="1" applyBorder="1" applyAlignment="1">
      <alignment horizontal="center" wrapText="1"/>
    </xf>
    <xf numFmtId="0" fontId="54" fillId="20" borderId="56" xfId="0" applyFont="1" applyFill="1" applyBorder="1" applyAlignment="1">
      <alignment horizontal="center" wrapText="1"/>
    </xf>
    <xf numFmtId="6" fontId="48" fillId="20" borderId="0" xfId="0" applyNumberFormat="1" applyFont="1" applyFill="1" applyAlignment="1">
      <alignment horizontal="right"/>
    </xf>
    <xf numFmtId="176" fontId="48" fillId="20" borderId="0" xfId="0" applyNumberFormat="1" applyFont="1" applyFill="1" applyAlignment="1">
      <alignment horizontal="right"/>
    </xf>
    <xf numFmtId="42" fontId="48" fillId="20" borderId="0" xfId="6" applyFont="1" applyFill="1" applyBorder="1" applyAlignment="1" applyProtection="1">
      <alignment horizontal="right"/>
    </xf>
    <xf numFmtId="0" fontId="48" fillId="20" borderId="58" xfId="0" applyFont="1" applyFill="1" applyBorder="1"/>
    <xf numFmtId="0" fontId="51" fillId="20" borderId="58" xfId="0" applyFont="1" applyFill="1" applyBorder="1" applyAlignment="1">
      <alignment horizontal="center"/>
    </xf>
    <xf numFmtId="0" fontId="48" fillId="20" borderId="58" xfId="0" applyFont="1" applyFill="1" applyBorder="1" applyAlignment="1">
      <alignment horizontal="left"/>
    </xf>
    <xf numFmtId="0" fontId="48" fillId="20" borderId="58" xfId="0" applyFont="1" applyFill="1" applyBorder="1" applyAlignment="1">
      <alignment horizontal="left" indent="3"/>
    </xf>
    <xf numFmtId="2" fontId="51" fillId="20" borderId="58" xfId="0" applyNumberFormat="1" applyFont="1" applyFill="1" applyBorder="1" applyAlignment="1">
      <alignment horizontal="center"/>
    </xf>
    <xf numFmtId="0" fontId="48" fillId="20" borderId="58" xfId="0" applyFont="1" applyFill="1" applyBorder="1" applyAlignment="1">
      <alignment horizontal="center" vertical="center"/>
    </xf>
    <xf numFmtId="2" fontId="52" fillId="20" borderId="58" xfId="0" applyNumberFormat="1" applyFont="1" applyFill="1" applyBorder="1" applyAlignment="1">
      <alignment horizontal="center"/>
    </xf>
    <xf numFmtId="0" fontId="51" fillId="20" borderId="58" xfId="0" applyFont="1" applyFill="1" applyBorder="1" applyAlignment="1">
      <alignment horizontal="center" vertical="center"/>
    </xf>
    <xf numFmtId="0" fontId="51" fillId="20" borderId="58" xfId="0" applyFont="1" applyFill="1" applyBorder="1" applyAlignment="1">
      <alignment horizontal="left"/>
    </xf>
    <xf numFmtId="0" fontId="48" fillId="20" borderId="60" xfId="0" applyFont="1" applyFill="1" applyBorder="1"/>
    <xf numFmtId="0" fontId="48" fillId="20" borderId="61" xfId="0" applyFont="1" applyFill="1" applyBorder="1"/>
    <xf numFmtId="0" fontId="51" fillId="20" borderId="60" xfId="0" applyFont="1" applyFill="1" applyBorder="1" applyAlignment="1">
      <alignment horizontal="center"/>
    </xf>
    <xf numFmtId="0" fontId="51" fillId="20" borderId="61" xfId="0" applyFont="1" applyFill="1" applyBorder="1" applyAlignment="1">
      <alignment horizontal="center"/>
    </xf>
    <xf numFmtId="0" fontId="53" fillId="20" borderId="59" xfId="0" applyFont="1" applyFill="1" applyBorder="1"/>
    <xf numFmtId="0" fontId="53" fillId="20" borderId="58" xfId="0" applyFont="1" applyFill="1" applyBorder="1"/>
    <xf numFmtId="0" fontId="53" fillId="20" borderId="62" xfId="0" applyFont="1" applyFill="1" applyBorder="1" applyAlignment="1">
      <alignment horizontal="left"/>
    </xf>
    <xf numFmtId="0" fontId="48" fillId="20" borderId="63" xfId="0" applyFont="1" applyFill="1" applyBorder="1" applyAlignment="1">
      <alignment horizontal="left"/>
    </xf>
    <xf numFmtId="164" fontId="48" fillId="20" borderId="64" xfId="2" applyNumberFormat="1" applyFont="1" applyFill="1" applyBorder="1" applyAlignment="1" applyProtection="1">
      <alignment horizontal="right"/>
    </xf>
    <xf numFmtId="9" fontId="48" fillId="20" borderId="64" xfId="2" applyFont="1" applyFill="1" applyBorder="1" applyAlignment="1" applyProtection="1">
      <alignment horizontal="center"/>
    </xf>
    <xf numFmtId="9" fontId="48" fillId="20" borderId="64" xfId="0" applyNumberFormat="1" applyFont="1" applyFill="1" applyBorder="1" applyAlignment="1">
      <alignment horizontal="center"/>
    </xf>
    <xf numFmtId="0" fontId="48" fillId="20" borderId="65" xfId="0" applyFont="1" applyFill="1" applyBorder="1" applyAlignment="1">
      <alignment horizontal="left"/>
    </xf>
    <xf numFmtId="9" fontId="48" fillId="20" borderId="66" xfId="2" applyFont="1" applyFill="1" applyBorder="1" applyAlignment="1" applyProtection="1">
      <alignment horizontal="center"/>
    </xf>
    <xf numFmtId="0" fontId="53" fillId="20" borderId="67" xfId="0" applyFont="1" applyFill="1" applyBorder="1" applyAlignment="1">
      <alignment horizontal="left"/>
    </xf>
    <xf numFmtId="5" fontId="48" fillId="20" borderId="68" xfId="6" applyNumberFormat="1" applyFont="1" applyFill="1" applyBorder="1" applyAlignment="1" applyProtection="1">
      <alignment horizontal="left"/>
    </xf>
    <xf numFmtId="9" fontId="48" fillId="20" borderId="69" xfId="6" applyNumberFormat="1" applyFont="1" applyFill="1" applyBorder="1" applyAlignment="1" applyProtection="1">
      <alignment horizontal="center"/>
    </xf>
    <xf numFmtId="164" fontId="48" fillId="20" borderId="69" xfId="2" applyNumberFormat="1" applyFont="1" applyFill="1" applyBorder="1" applyAlignment="1" applyProtection="1">
      <alignment horizontal="center"/>
    </xf>
    <xf numFmtId="9" fontId="48" fillId="20" borderId="69" xfId="2" applyFont="1" applyFill="1" applyBorder="1" applyAlignment="1" applyProtection="1">
      <alignment horizontal="center"/>
    </xf>
    <xf numFmtId="0" fontId="48" fillId="20" borderId="70" xfId="0" applyFont="1" applyFill="1" applyBorder="1"/>
    <xf numFmtId="0" fontId="48" fillId="7" borderId="0" xfId="0" applyFont="1" applyFill="1"/>
    <xf numFmtId="0" fontId="48" fillId="7" borderId="0" xfId="7" applyFont="1" applyFill="1"/>
    <xf numFmtId="176" fontId="50" fillId="20" borderId="53" xfId="0" applyNumberFormat="1" applyFont="1" applyFill="1" applyBorder="1"/>
    <xf numFmtId="0" fontId="48" fillId="20" borderId="64" xfId="2" applyNumberFormat="1" applyFont="1" applyFill="1" applyBorder="1" applyAlignment="1" applyProtection="1">
      <alignment horizontal="right"/>
    </xf>
    <xf numFmtId="0" fontId="33" fillId="9" borderId="1" xfId="0" applyFont="1" applyFill="1" applyBorder="1" applyAlignment="1">
      <alignment horizontal="center" wrapText="1"/>
    </xf>
    <xf numFmtId="0" fontId="33" fillId="9" borderId="1" xfId="0" applyFont="1" applyFill="1" applyBorder="1" applyAlignment="1">
      <alignment horizontal="center" vertical="center" wrapText="1"/>
    </xf>
    <xf numFmtId="0" fontId="6" fillId="2" borderId="2" xfId="0" applyFont="1" applyFill="1" applyBorder="1" applyAlignment="1">
      <alignment horizontal="left"/>
    </xf>
    <xf numFmtId="0" fontId="7" fillId="6" borderId="2" xfId="0" applyFont="1" applyFill="1" applyBorder="1" applyAlignment="1">
      <alignment horizontal="left"/>
    </xf>
    <xf numFmtId="0" fontId="10" fillId="7" borderId="0" xfId="3" applyFill="1" applyAlignment="1">
      <alignment horizontal="left"/>
    </xf>
    <xf numFmtId="0" fontId="0" fillId="10" borderId="30" xfId="1" applyNumberFormat="1" applyFont="1" applyFill="1" applyBorder="1" applyAlignment="1" applyProtection="1">
      <alignment horizontal="left"/>
      <protection locked="0"/>
    </xf>
    <xf numFmtId="0" fontId="34" fillId="3" borderId="14" xfId="0" applyFont="1" applyFill="1" applyBorder="1" applyAlignment="1">
      <alignment horizontal="left"/>
    </xf>
    <xf numFmtId="0" fontId="12" fillId="3" borderId="18" xfId="0" applyFont="1" applyFill="1" applyBorder="1" applyAlignment="1">
      <alignment horizontal="left"/>
    </xf>
    <xf numFmtId="0" fontId="18" fillId="3" borderId="0" xfId="0" applyFont="1" applyFill="1" applyAlignment="1">
      <alignment horizontal="left"/>
    </xf>
    <xf numFmtId="49" fontId="0" fillId="5" borderId="1" xfId="2" applyNumberFormat="1" applyFont="1" applyFill="1" applyBorder="1" applyAlignment="1" applyProtection="1">
      <alignment horizontal="left"/>
    </xf>
    <xf numFmtId="0" fontId="2" fillId="9" borderId="1" xfId="0" applyFont="1" applyFill="1" applyBorder="1" applyAlignment="1">
      <alignment horizontal="center" vertical="center"/>
    </xf>
    <xf numFmtId="0" fontId="2" fillId="9" borderId="2" xfId="0" applyFont="1" applyFill="1" applyBorder="1" applyAlignment="1">
      <alignment horizontal="center" vertical="center"/>
    </xf>
    <xf numFmtId="0" fontId="0" fillId="5" borderId="14" xfId="0" applyFill="1" applyBorder="1" applyAlignment="1">
      <alignment horizontal="left"/>
    </xf>
    <xf numFmtId="0" fontId="0" fillId="5" borderId="18" xfId="0" applyFill="1" applyBorder="1" applyAlignment="1">
      <alignment horizontal="left"/>
    </xf>
    <xf numFmtId="0" fontId="0" fillId="5" borderId="28" xfId="0" applyFill="1" applyBorder="1" applyAlignment="1">
      <alignment horizontal="left"/>
    </xf>
    <xf numFmtId="0" fontId="0" fillId="5" borderId="26" xfId="0" applyFill="1" applyBorder="1" applyAlignment="1">
      <alignment horizontal="center"/>
    </xf>
    <xf numFmtId="0" fontId="0" fillId="5" borderId="27" xfId="0" applyFill="1" applyBorder="1" applyAlignment="1">
      <alignment horizontal="center"/>
    </xf>
    <xf numFmtId="169" fontId="0" fillId="5" borderId="1" xfId="4" applyNumberFormat="1" applyFont="1" applyFill="1" applyBorder="1"/>
    <xf numFmtId="169" fontId="0" fillId="8" borderId="1" xfId="4" applyNumberFormat="1" applyFont="1" applyFill="1" applyBorder="1" applyAlignment="1" applyProtection="1">
      <alignment horizontal="center"/>
      <protection locked="0"/>
    </xf>
    <xf numFmtId="0" fontId="26" fillId="7" borderId="0" xfId="0" applyFont="1" applyFill="1" applyAlignment="1">
      <alignment horizontal="left"/>
    </xf>
    <xf numFmtId="169" fontId="5" fillId="5" borderId="1" xfId="4" applyNumberFormat="1" applyFont="1" applyFill="1" applyBorder="1" applyAlignment="1" applyProtection="1"/>
    <xf numFmtId="0" fontId="0" fillId="10" borderId="1" xfId="1" applyNumberFormat="1" applyFont="1" applyFill="1" applyBorder="1" applyAlignment="1" applyProtection="1">
      <protection locked="0"/>
    </xf>
    <xf numFmtId="10" fontId="0" fillId="5" borderId="30" xfId="1" applyNumberFormat="1" applyFont="1" applyFill="1" applyBorder="1" applyAlignment="1" applyProtection="1">
      <alignment horizontal="left"/>
    </xf>
    <xf numFmtId="9" fontId="5" fillId="5" borderId="1" xfId="2" applyFont="1" applyFill="1" applyBorder="1" applyAlignment="1" applyProtection="1"/>
    <xf numFmtId="9" fontId="0" fillId="3" borderId="1" xfId="2" applyFont="1" applyFill="1" applyBorder="1" applyProtection="1"/>
    <xf numFmtId="0" fontId="57" fillId="0" borderId="0" xfId="0" applyFont="1"/>
    <xf numFmtId="165" fontId="0" fillId="5" borderId="1" xfId="0" applyNumberFormat="1" applyFill="1" applyBorder="1"/>
    <xf numFmtId="165" fontId="0" fillId="5" borderId="1" xfId="1" applyNumberFormat="1" applyFont="1" applyFill="1" applyBorder="1" applyProtection="1"/>
    <xf numFmtId="165" fontId="0" fillId="8" borderId="1" xfId="1" applyNumberFormat="1" applyFont="1" applyFill="1" applyBorder="1" applyProtection="1">
      <protection locked="0"/>
    </xf>
    <xf numFmtId="165" fontId="2" fillId="9" borderId="1" xfId="0" applyNumberFormat="1" applyFont="1" applyFill="1" applyBorder="1"/>
    <xf numFmtId="0" fontId="0" fillId="7" borderId="18" xfId="0" applyFill="1" applyBorder="1" applyProtection="1">
      <protection locked="0"/>
    </xf>
    <xf numFmtId="0" fontId="0" fillId="18" borderId="0" xfId="0" applyFill="1" applyProtection="1">
      <protection locked="0"/>
    </xf>
    <xf numFmtId="0" fontId="0" fillId="18" borderId="18" xfId="0" applyFill="1" applyBorder="1" applyProtection="1">
      <protection locked="0"/>
    </xf>
    <xf numFmtId="0" fontId="0" fillId="18" borderId="38" xfId="0" applyFill="1" applyBorder="1" applyProtection="1">
      <protection locked="0"/>
    </xf>
    <xf numFmtId="0" fontId="21" fillId="18" borderId="0" xfId="0" applyFont="1" applyFill="1" applyProtection="1">
      <protection locked="0"/>
    </xf>
    <xf numFmtId="0" fontId="0" fillId="18" borderId="0" xfId="0" applyFill="1" applyAlignment="1" applyProtection="1">
      <alignment horizontal="right"/>
      <protection locked="0"/>
    </xf>
    <xf numFmtId="165" fontId="0" fillId="13" borderId="1" xfId="0" applyNumberFormat="1" applyFill="1" applyBorder="1"/>
    <xf numFmtId="2" fontId="48" fillId="20" borderId="58" xfId="0" applyNumberFormat="1" applyFont="1" applyFill="1" applyBorder="1" applyAlignment="1">
      <alignment horizontal="center" vertical="center"/>
    </xf>
    <xf numFmtId="172" fontId="0" fillId="16" borderId="1" xfId="2" applyNumberFormat="1" applyFont="1" applyFill="1" applyBorder="1" applyAlignment="1">
      <alignment horizontal="center"/>
    </xf>
    <xf numFmtId="44" fontId="0" fillId="16" borderId="1" xfId="1" applyFont="1" applyFill="1" applyBorder="1" applyAlignment="1">
      <alignment horizontal="center"/>
    </xf>
    <xf numFmtId="0" fontId="0" fillId="16" borderId="1" xfId="1" applyNumberFormat="1" applyFont="1" applyFill="1" applyBorder="1" applyAlignment="1">
      <alignment horizontal="center"/>
    </xf>
    <xf numFmtId="0" fontId="22" fillId="5" borderId="1" xfId="0" applyFont="1" applyFill="1" applyBorder="1"/>
    <xf numFmtId="0" fontId="23" fillId="5" borderId="1" xfId="0" applyFont="1" applyFill="1" applyBorder="1"/>
    <xf numFmtId="1" fontId="5" fillId="7" borderId="0" xfId="0" applyNumberFormat="1" applyFont="1" applyFill="1" applyAlignment="1">
      <alignment horizontal="right" wrapText="1"/>
    </xf>
    <xf numFmtId="44" fontId="0" fillId="16" borderId="1" xfId="0" applyNumberFormat="1" applyFill="1" applyBorder="1"/>
    <xf numFmtId="9" fontId="0" fillId="16" borderId="1" xfId="2" applyFont="1" applyFill="1" applyBorder="1" applyProtection="1"/>
    <xf numFmtId="44" fontId="0" fillId="5" borderId="1" xfId="1" applyFont="1" applyFill="1" applyBorder="1" applyAlignment="1" applyProtection="1"/>
    <xf numFmtId="0" fontId="60" fillId="7" borderId="0" xfId="0" applyFont="1" applyFill="1"/>
    <xf numFmtId="9" fontId="0" fillId="5" borderId="1" xfId="2" applyFont="1" applyFill="1" applyBorder="1" applyProtection="1"/>
    <xf numFmtId="165" fontId="0" fillId="5" borderId="1" xfId="0" applyNumberFormat="1" applyFill="1" applyBorder="1" applyAlignment="1">
      <alignment horizontal="left"/>
    </xf>
    <xf numFmtId="44" fontId="0" fillId="5" borderId="1" xfId="0" applyNumberFormat="1" applyFill="1" applyBorder="1" applyAlignment="1">
      <alignment horizontal="left"/>
    </xf>
    <xf numFmtId="0" fontId="3" fillId="8" borderId="1" xfId="0" applyFont="1" applyFill="1" applyBorder="1"/>
    <xf numFmtId="0" fontId="3" fillId="10" borderId="1" xfId="0" applyFont="1" applyFill="1" applyBorder="1"/>
    <xf numFmtId="0" fontId="3" fillId="5" borderId="1" xfId="0" applyFont="1" applyFill="1" applyBorder="1"/>
    <xf numFmtId="0" fontId="3" fillId="16" borderId="1" xfId="0" applyFont="1" applyFill="1" applyBorder="1"/>
    <xf numFmtId="0" fontId="0" fillId="18" borderId="1" xfId="0" applyFill="1" applyBorder="1" applyAlignment="1">
      <alignment horizontal="center"/>
    </xf>
    <xf numFmtId="9" fontId="0" fillId="18" borderId="1" xfId="2" applyFont="1" applyFill="1" applyBorder="1" applyAlignment="1" applyProtection="1">
      <alignment horizontal="center"/>
    </xf>
    <xf numFmtId="0" fontId="26" fillId="7" borderId="0" xfId="0" applyFont="1" applyFill="1" applyAlignment="1" applyProtection="1">
      <alignment horizontal="left" vertical="top" wrapText="1"/>
      <protection locked="0"/>
    </xf>
    <xf numFmtId="9" fontId="2" fillId="2" borderId="1" xfId="2" applyFont="1" applyFill="1" applyBorder="1" applyAlignment="1" applyProtection="1">
      <alignment horizontal="center"/>
    </xf>
    <xf numFmtId="44" fontId="2" fillId="2" borderId="1" xfId="1" applyFont="1" applyFill="1" applyBorder="1" applyAlignment="1" applyProtection="1">
      <alignment horizontal="center"/>
    </xf>
    <xf numFmtId="44" fontId="2" fillId="2" borderId="1" xfId="0" applyNumberFormat="1" applyFont="1" applyFill="1" applyBorder="1"/>
    <xf numFmtId="0" fontId="61" fillId="7" borderId="0" xfId="0" applyFont="1" applyFill="1"/>
    <xf numFmtId="0" fontId="62" fillId="7" borderId="0" xfId="0" applyFont="1" applyFill="1" applyAlignment="1">
      <alignment horizontal="left"/>
    </xf>
    <xf numFmtId="0" fontId="25" fillId="2" borderId="5" xfId="0" applyFont="1" applyFill="1" applyBorder="1" applyAlignment="1">
      <alignment horizontal="left"/>
    </xf>
    <xf numFmtId="0" fontId="25" fillId="2" borderId="5" xfId="0" applyFont="1" applyFill="1" applyBorder="1" applyAlignment="1">
      <alignment horizontal="left" wrapText="1"/>
    </xf>
    <xf numFmtId="0" fontId="45" fillId="2" borderId="14" xfId="0" applyFont="1" applyFill="1" applyBorder="1" applyAlignment="1">
      <alignment horizontal="left"/>
    </xf>
    <xf numFmtId="0" fontId="0" fillId="7" borderId="0" xfId="0" applyFill="1" applyAlignment="1" applyProtection="1">
      <alignment vertical="top"/>
      <protection locked="0"/>
    </xf>
    <xf numFmtId="0" fontId="0" fillId="8" borderId="1" xfId="0" applyFill="1" applyBorder="1" applyAlignment="1" applyProtection="1">
      <alignment vertical="top"/>
      <protection locked="0"/>
    </xf>
    <xf numFmtId="0" fontId="3" fillId="8" borderId="1" xfId="0" applyFont="1" applyFill="1" applyBorder="1" applyProtection="1">
      <protection locked="0"/>
    </xf>
    <xf numFmtId="0" fontId="0" fillId="6" borderId="1" xfId="0" applyFill="1" applyBorder="1" applyProtection="1">
      <protection locked="0"/>
    </xf>
    <xf numFmtId="0" fontId="0" fillId="6" borderId="1" xfId="0" applyFill="1" applyBorder="1"/>
    <xf numFmtId="0" fontId="25" fillId="2" borderId="70" xfId="0" applyFont="1" applyFill="1" applyBorder="1" applyAlignment="1">
      <alignment horizontal="left"/>
    </xf>
    <xf numFmtId="0" fontId="25" fillId="2" borderId="0" xfId="0" applyFont="1" applyFill="1" applyAlignment="1">
      <alignment horizontal="left"/>
    </xf>
    <xf numFmtId="0" fontId="26" fillId="7" borderId="0" xfId="0" applyFont="1" applyFill="1" applyAlignment="1" applyProtection="1">
      <alignment vertical="top"/>
      <protection locked="0"/>
    </xf>
    <xf numFmtId="0" fontId="26" fillId="7" borderId="0" xfId="0" applyFont="1" applyFill="1"/>
    <xf numFmtId="0" fontId="0" fillId="7" borderId="38" xfId="0" applyFill="1" applyBorder="1" applyAlignment="1" applyProtection="1">
      <alignment vertical="top"/>
      <protection locked="0"/>
    </xf>
    <xf numFmtId="0" fontId="0" fillId="7" borderId="0" xfId="0" applyFill="1" applyAlignment="1" applyProtection="1">
      <alignment horizontal="left" vertical="top"/>
      <protection locked="0"/>
    </xf>
    <xf numFmtId="0" fontId="0" fillId="7" borderId="38" xfId="0" applyFill="1" applyBorder="1" applyAlignment="1" applyProtection="1">
      <alignment horizontal="left" vertical="top"/>
      <protection locked="0"/>
    </xf>
    <xf numFmtId="0" fontId="26" fillId="7" borderId="0" xfId="0" applyFont="1" applyFill="1" applyAlignment="1" applyProtection="1">
      <alignment horizontal="left" vertical="top"/>
      <protection locked="0"/>
    </xf>
    <xf numFmtId="0" fontId="0" fillId="7" borderId="0" xfId="0" applyFill="1" applyAlignment="1" applyProtection="1">
      <alignment horizontal="right" vertical="top"/>
      <protection locked="0"/>
    </xf>
    <xf numFmtId="0" fontId="26" fillId="10" borderId="1" xfId="0" applyFont="1" applyFill="1" applyBorder="1" applyProtection="1">
      <protection locked="0"/>
    </xf>
    <xf numFmtId="0" fontId="26" fillId="7" borderId="0" xfId="0" applyFont="1" applyFill="1" applyAlignment="1">
      <alignment horizontal="left" vertical="top" wrapText="1"/>
    </xf>
    <xf numFmtId="0" fontId="0" fillId="10" borderId="57" xfId="1" applyNumberFormat="1" applyFont="1" applyFill="1" applyBorder="1" applyAlignment="1" applyProtection="1">
      <alignment horizontal="left"/>
      <protection locked="0"/>
    </xf>
    <xf numFmtId="0" fontId="10" fillId="7" borderId="0" xfId="3" applyFill="1" applyBorder="1" applyAlignment="1">
      <alignment horizontal="left"/>
    </xf>
    <xf numFmtId="0" fontId="15" fillId="7" borderId="18" xfId="0" applyFont="1" applyFill="1" applyBorder="1" applyAlignment="1">
      <alignment wrapText="1"/>
    </xf>
    <xf numFmtId="0" fontId="5" fillId="5" borderId="1" xfId="2" applyNumberFormat="1" applyFont="1" applyFill="1" applyBorder="1" applyAlignment="1" applyProtection="1"/>
    <xf numFmtId="0" fontId="5" fillId="5" borderId="57" xfId="0" applyFont="1" applyFill="1" applyBorder="1"/>
    <xf numFmtId="9" fontId="5" fillId="5" borderId="54" xfId="2" applyFont="1" applyFill="1" applyBorder="1" applyAlignment="1" applyProtection="1"/>
    <xf numFmtId="0" fontId="5" fillId="7" borderId="55" xfId="0" applyFont="1" applyFill="1" applyBorder="1"/>
    <xf numFmtId="0" fontId="0" fillId="12" borderId="71" xfId="0" applyFill="1" applyBorder="1"/>
    <xf numFmtId="9" fontId="1" fillId="12" borderId="57" xfId="2" applyFont="1" applyFill="1" applyBorder="1" applyProtection="1"/>
    <xf numFmtId="0" fontId="41" fillId="7" borderId="27" xfId="0" applyFont="1" applyFill="1" applyBorder="1"/>
    <xf numFmtId="0" fontId="1" fillId="3" borderId="1" xfId="1" applyNumberFormat="1" applyFont="1" applyFill="1" applyBorder="1" applyProtection="1"/>
    <xf numFmtId="1" fontId="1" fillId="3" borderId="1" xfId="1" applyNumberFormat="1" applyFont="1" applyFill="1" applyBorder="1" applyProtection="1"/>
    <xf numFmtId="0" fontId="0" fillId="7" borderId="0" xfId="0" applyFill="1" applyAlignment="1">
      <alignment vertical="center" wrapText="1"/>
    </xf>
    <xf numFmtId="0" fontId="0" fillId="27" borderId="57" xfId="1" applyNumberFormat="1" applyFont="1" applyFill="1" applyBorder="1" applyAlignment="1" applyProtection="1">
      <alignment horizontal="left"/>
      <protection locked="0"/>
    </xf>
    <xf numFmtId="0" fontId="0" fillId="3" borderId="27" xfId="0" applyFill="1" applyBorder="1" applyAlignment="1">
      <alignment vertical="top"/>
    </xf>
    <xf numFmtId="0" fontId="46" fillId="3" borderId="0" xfId="0" applyFont="1" applyFill="1" applyAlignment="1">
      <alignment vertical="top"/>
    </xf>
    <xf numFmtId="0" fontId="0" fillId="3" borderId="72" xfId="0" applyFill="1" applyBorder="1"/>
    <xf numFmtId="0" fontId="0" fillId="7" borderId="72" xfId="0" applyFill="1" applyBorder="1" applyAlignment="1" applyProtection="1">
      <alignment horizontal="left" vertical="top" wrapText="1"/>
      <protection locked="0"/>
    </xf>
    <xf numFmtId="0" fontId="8" fillId="7" borderId="0" xfId="0" applyFont="1" applyFill="1" applyAlignment="1">
      <alignment horizontal="left" vertical="center"/>
    </xf>
    <xf numFmtId="0" fontId="8" fillId="7" borderId="0" xfId="0" applyFont="1" applyFill="1" applyAlignment="1">
      <alignment vertical="center"/>
    </xf>
    <xf numFmtId="42" fontId="0" fillId="7" borderId="0" xfId="0" applyNumberFormat="1" applyFill="1" applyAlignment="1">
      <alignment vertical="center"/>
    </xf>
    <xf numFmtId="0" fontId="0" fillId="7" borderId="0" xfId="0" applyFill="1" applyAlignment="1">
      <alignment horizontal="right" vertical="center"/>
    </xf>
    <xf numFmtId="44" fontId="0" fillId="7" borderId="0" xfId="1" applyFont="1" applyFill="1" applyAlignment="1">
      <alignment vertical="center"/>
    </xf>
    <xf numFmtId="0" fontId="0" fillId="7" borderId="0" xfId="0" applyFill="1" applyAlignment="1">
      <alignment horizontal="left" vertical="center"/>
    </xf>
    <xf numFmtId="0" fontId="5" fillId="7" borderId="0" xfId="0" applyFont="1" applyFill="1" applyAlignment="1">
      <alignment horizontal="left" vertical="center" wrapText="1"/>
    </xf>
    <xf numFmtId="0" fontId="5" fillId="7" borderId="0" xfId="0" applyFont="1" applyFill="1" applyAlignment="1">
      <alignment vertical="center"/>
    </xf>
    <xf numFmtId="0" fontId="4" fillId="7" borderId="0" xfId="0" applyFont="1" applyFill="1" applyAlignment="1">
      <alignment horizontal="left" vertical="center" wrapText="1"/>
    </xf>
    <xf numFmtId="0" fontId="57" fillId="7" borderId="0" xfId="0" applyFont="1" applyFill="1"/>
    <xf numFmtId="0" fontId="63" fillId="7" borderId="0" xfId="0" applyFont="1" applyFill="1"/>
    <xf numFmtId="0" fontId="1" fillId="5" borderId="1" xfId="1" applyNumberFormat="1" applyFont="1" applyFill="1" applyBorder="1" applyProtection="1"/>
    <xf numFmtId="0" fontId="16" fillId="7" borderId="0" xfId="3" applyFont="1" applyFill="1" applyBorder="1" applyAlignment="1" applyProtection="1">
      <alignment vertical="center"/>
    </xf>
    <xf numFmtId="9" fontId="5" fillId="5" borderId="57" xfId="2" applyFont="1" applyFill="1" applyBorder="1" applyProtection="1"/>
    <xf numFmtId="0" fontId="5" fillId="28" borderId="57" xfId="0" applyFont="1" applyFill="1" applyBorder="1"/>
    <xf numFmtId="165" fontId="0" fillId="5" borderId="1" xfId="1" applyNumberFormat="1" applyFont="1" applyFill="1" applyBorder="1" applyAlignment="1" applyProtection="1">
      <alignment horizontal="left"/>
    </xf>
    <xf numFmtId="178" fontId="0" fillId="8" borderId="1" xfId="4" applyNumberFormat="1" applyFont="1" applyFill="1" applyBorder="1" applyAlignment="1" applyProtection="1">
      <alignment horizontal="center"/>
      <protection locked="0"/>
    </xf>
    <xf numFmtId="0" fontId="26" fillId="7" borderId="0" xfId="0" applyFont="1" applyFill="1" applyAlignment="1" applyProtection="1">
      <alignment horizontal="left" indent="1"/>
      <protection locked="0"/>
    </xf>
    <xf numFmtId="0" fontId="55" fillId="7" borderId="0" xfId="0" applyFont="1" applyFill="1" applyAlignment="1">
      <alignment horizontal="left" indent="1"/>
    </xf>
    <xf numFmtId="0" fontId="64" fillId="7" borderId="0" xfId="0" applyFont="1" applyFill="1"/>
    <xf numFmtId="0" fontId="65" fillId="7" borderId="0" xfId="0" applyFont="1" applyFill="1"/>
    <xf numFmtId="0" fontId="29" fillId="6" borderId="3" xfId="0" applyFont="1" applyFill="1" applyBorder="1"/>
    <xf numFmtId="0" fontId="0" fillId="0" borderId="1" xfId="0" applyBorder="1" applyAlignment="1">
      <alignment horizontal="left" vertical="center"/>
    </xf>
    <xf numFmtId="0" fontId="0" fillId="25" borderId="1" xfId="0" applyFill="1" applyBorder="1" applyAlignment="1">
      <alignment horizontal="center" vertical="center"/>
    </xf>
    <xf numFmtId="0" fontId="0" fillId="24" borderId="1" xfId="0" applyFill="1" applyBorder="1" applyAlignment="1">
      <alignment horizontal="center" vertical="center"/>
    </xf>
    <xf numFmtId="0" fontId="0" fillId="7" borderId="0" xfId="0" applyFill="1" applyAlignment="1">
      <alignment horizontal="center" vertical="top" wrapText="1"/>
    </xf>
    <xf numFmtId="43" fontId="0" fillId="14" borderId="0" xfId="0" applyNumberFormat="1" applyFill="1" applyAlignment="1">
      <alignment horizontal="left"/>
    </xf>
    <xf numFmtId="0" fontId="41" fillId="7" borderId="0" xfId="0" applyFont="1" applyFill="1"/>
    <xf numFmtId="0" fontId="0" fillId="0" borderId="0" xfId="0" applyAlignment="1">
      <alignment wrapText="1"/>
    </xf>
    <xf numFmtId="9" fontId="5" fillId="5" borderId="1" xfId="0" applyNumberFormat="1" applyFont="1" applyFill="1" applyBorder="1"/>
    <xf numFmtId="0" fontId="25" fillId="0" borderId="0" xfId="0" applyFont="1" applyProtection="1">
      <protection locked="0"/>
    </xf>
    <xf numFmtId="44" fontId="0" fillId="5" borderId="1" xfId="1" applyFont="1" applyFill="1" applyBorder="1" applyProtection="1">
      <protection locked="0"/>
    </xf>
    <xf numFmtId="0" fontId="5" fillId="0" borderId="0" xfId="0" applyFont="1"/>
    <xf numFmtId="0" fontId="0" fillId="17" borderId="0" xfId="0" applyFill="1"/>
    <xf numFmtId="0" fontId="0" fillId="17" borderId="0" xfId="0" applyFill="1" applyAlignment="1">
      <alignment horizontal="left"/>
    </xf>
    <xf numFmtId="0" fontId="0" fillId="4" borderId="0" xfId="0" applyFill="1"/>
    <xf numFmtId="0" fontId="0" fillId="4" borderId="0" xfId="0" applyFill="1" applyAlignment="1">
      <alignment horizontal="left"/>
    </xf>
    <xf numFmtId="44" fontId="0" fillId="21" borderId="0" xfId="0" applyNumberFormat="1" applyFill="1" applyAlignment="1">
      <alignment horizontal="left"/>
    </xf>
    <xf numFmtId="0" fontId="0" fillId="21" borderId="0" xfId="0" applyFill="1" applyAlignment="1">
      <alignment horizontal="left"/>
    </xf>
    <xf numFmtId="2" fontId="0" fillId="17" borderId="0" xfId="0" applyNumberFormat="1" applyFill="1" applyAlignment="1">
      <alignment horizontal="left"/>
    </xf>
    <xf numFmtId="1" fontId="0" fillId="17" borderId="0" xfId="0" applyNumberFormat="1" applyFill="1" applyAlignment="1">
      <alignment horizontal="left"/>
    </xf>
    <xf numFmtId="0" fontId="0" fillId="7" borderId="14" xfId="2" applyNumberFormat="1" applyFont="1" applyFill="1" applyBorder="1" applyAlignment="1" applyProtection="1">
      <alignment horizontal="center"/>
    </xf>
    <xf numFmtId="0" fontId="5" fillId="28" borderId="1" xfId="0" applyFont="1" applyFill="1" applyBorder="1"/>
    <xf numFmtId="0" fontId="0" fillId="7" borderId="5" xfId="0" applyFill="1" applyBorder="1" applyProtection="1">
      <protection locked="0"/>
    </xf>
    <xf numFmtId="0" fontId="2" fillId="7" borderId="0" xfId="0" applyFont="1" applyFill="1"/>
    <xf numFmtId="0" fontId="0" fillId="7" borderId="0" xfId="0" quotePrefix="1" applyFill="1"/>
    <xf numFmtId="14" fontId="0" fillId="7" borderId="0" xfId="0" quotePrefix="1" applyNumberFormat="1" applyFill="1"/>
    <xf numFmtId="0" fontId="0" fillId="7" borderId="0" xfId="0" quotePrefix="1" applyFill="1" applyAlignment="1">
      <alignment horizontal="left" vertical="top"/>
    </xf>
    <xf numFmtId="0" fontId="5" fillId="0" borderId="0" xfId="0" applyFont="1" applyAlignment="1">
      <alignment horizontal="left"/>
    </xf>
    <xf numFmtId="0" fontId="68" fillId="7" borderId="0" xfId="0" applyFont="1" applyFill="1"/>
    <xf numFmtId="0" fontId="26" fillId="7" borderId="0" xfId="0" quotePrefix="1" applyFont="1" applyFill="1"/>
    <xf numFmtId="0" fontId="72" fillId="0" borderId="0" xfId="14" applyFont="1" applyAlignment="1">
      <alignment horizontal="center" wrapText="1"/>
    </xf>
    <xf numFmtId="0" fontId="70" fillId="0" borderId="0" xfId="13" applyAlignment="1">
      <alignment wrapText="1"/>
    </xf>
    <xf numFmtId="177" fontId="70" fillId="0" borderId="0" xfId="13" applyNumberFormat="1" applyAlignment="1">
      <alignment wrapText="1"/>
    </xf>
    <xf numFmtId="177" fontId="40" fillId="29" borderId="0" xfId="11" applyNumberFormat="1" applyFont="1" applyFill="1" applyAlignment="1">
      <alignment horizontal="right"/>
    </xf>
    <xf numFmtId="8" fontId="40" fillId="29" borderId="10" xfId="11" applyNumberFormat="1" applyFont="1" applyFill="1" applyBorder="1" applyAlignment="1">
      <alignment horizontal="right"/>
    </xf>
    <xf numFmtId="44" fontId="70" fillId="0" borderId="0" xfId="13" applyNumberFormat="1" applyAlignment="1">
      <alignment wrapText="1"/>
    </xf>
    <xf numFmtId="10" fontId="40" fillId="29" borderId="0" xfId="16" applyNumberFormat="1" applyFont="1" applyFill="1" applyBorder="1" applyAlignment="1">
      <alignment horizontal="right"/>
    </xf>
    <xf numFmtId="0" fontId="40" fillId="29" borderId="10" xfId="11" applyFont="1" applyFill="1" applyBorder="1" applyAlignment="1">
      <alignment horizontal="right"/>
    </xf>
    <xf numFmtId="0" fontId="71" fillId="29" borderId="9" xfId="11" applyFont="1" applyFill="1" applyBorder="1" applyAlignment="1">
      <alignment horizontal="right"/>
    </xf>
    <xf numFmtId="0" fontId="71" fillId="29" borderId="0" xfId="11" applyFont="1" applyFill="1" applyAlignment="1">
      <alignment horizontal="right"/>
    </xf>
    <xf numFmtId="1" fontId="40" fillId="29" borderId="10" xfId="11" applyNumberFormat="1" applyFont="1" applyFill="1" applyBorder="1" applyAlignment="1">
      <alignment horizontal="right" vertical="center"/>
    </xf>
    <xf numFmtId="177" fontId="40" fillId="29" borderId="79" xfId="11" applyNumberFormat="1" applyFont="1" applyFill="1" applyBorder="1" applyAlignment="1">
      <alignment horizontal="right"/>
    </xf>
    <xf numFmtId="1" fontId="74" fillId="29" borderId="10" xfId="15" applyNumberFormat="1" applyFont="1" applyFill="1" applyBorder="1" applyAlignment="1">
      <alignment horizontal="right"/>
    </xf>
    <xf numFmtId="14" fontId="40" fillId="7" borderId="81" xfId="11" applyNumberFormat="1" applyFont="1" applyFill="1" applyBorder="1"/>
    <xf numFmtId="14" fontId="40" fillId="7" borderId="22" xfId="11" applyNumberFormat="1" applyFont="1" applyFill="1" applyBorder="1"/>
    <xf numFmtId="179" fontId="71" fillId="0" borderId="83" xfId="11" applyNumberFormat="1" applyFont="1" applyBorder="1" applyAlignment="1">
      <alignment horizontal="center" vertical="center" wrapText="1"/>
    </xf>
    <xf numFmtId="14" fontId="71" fillId="0" borderId="84" xfId="11" applyNumberFormat="1" applyFont="1" applyBorder="1" applyAlignment="1">
      <alignment horizontal="center" vertical="center" wrapText="1"/>
    </xf>
    <xf numFmtId="180" fontId="71" fillId="0" borderId="84" xfId="11" applyNumberFormat="1" applyFont="1" applyBorder="1" applyAlignment="1">
      <alignment horizontal="center" vertical="center" wrapText="1"/>
    </xf>
    <xf numFmtId="180" fontId="71" fillId="0" borderId="85" xfId="11" applyNumberFormat="1" applyFont="1" applyBorder="1" applyAlignment="1">
      <alignment horizontal="center" vertical="center" wrapText="1"/>
    </xf>
    <xf numFmtId="10" fontId="40" fillId="0" borderId="82" xfId="11" applyNumberFormat="1" applyFont="1" applyBorder="1" applyAlignment="1">
      <alignment horizontal="center" vertical="center" wrapText="1"/>
    </xf>
    <xf numFmtId="179" fontId="40" fillId="0" borderId="6" xfId="11" applyNumberFormat="1" applyFont="1" applyBorder="1"/>
    <xf numFmtId="14" fontId="40" fillId="0" borderId="86" xfId="11" applyNumberFormat="1" applyFont="1" applyBorder="1" applyAlignment="1">
      <alignment horizontal="center"/>
    </xf>
    <xf numFmtId="177" fontId="40" fillId="0" borderId="86" xfId="11" applyNumberFormat="1" applyFont="1" applyBorder="1"/>
    <xf numFmtId="0" fontId="69" fillId="0" borderId="7" xfId="11" applyBorder="1"/>
    <xf numFmtId="181" fontId="40" fillId="0" borderId="86" xfId="11" applyNumberFormat="1" applyFont="1" applyBorder="1"/>
    <xf numFmtId="177" fontId="40" fillId="0" borderId="87" xfId="11" applyNumberFormat="1" applyFont="1" applyBorder="1"/>
    <xf numFmtId="177" fontId="40" fillId="0" borderId="88" xfId="11" applyNumberFormat="1" applyFont="1" applyBorder="1"/>
    <xf numFmtId="0" fontId="40" fillId="29" borderId="89" xfId="11" applyFont="1" applyFill="1" applyBorder="1" applyAlignment="1">
      <alignment horizontal="center"/>
    </xf>
    <xf numFmtId="14" fontId="40" fillId="29" borderId="71" xfId="11" applyNumberFormat="1" applyFont="1" applyFill="1" applyBorder="1" applyAlignment="1">
      <alignment horizontal="center"/>
    </xf>
    <xf numFmtId="177" fontId="40" fillId="29" borderId="1" xfId="11" applyNumberFormat="1" applyFont="1" applyFill="1" applyBorder="1"/>
    <xf numFmtId="8" fontId="40" fillId="29" borderId="1" xfId="11" applyNumberFormat="1" applyFont="1" applyFill="1" applyBorder="1"/>
    <xf numFmtId="8" fontId="40" fillId="29" borderId="23" xfId="11" applyNumberFormat="1" applyFont="1" applyFill="1" applyBorder="1"/>
    <xf numFmtId="8" fontId="40" fillId="29" borderId="10" xfId="11" applyNumberFormat="1" applyFont="1" applyFill="1" applyBorder="1"/>
    <xf numFmtId="0" fontId="40" fillId="29" borderId="9" xfId="11" applyFont="1" applyFill="1" applyBorder="1" applyAlignment="1">
      <alignment horizontal="center"/>
    </xf>
    <xf numFmtId="14" fontId="40" fillId="29" borderId="48" xfId="11" applyNumberFormat="1" applyFont="1" applyFill="1" applyBorder="1" applyAlignment="1">
      <alignment horizontal="center"/>
    </xf>
    <xf numFmtId="0" fontId="40" fillId="29" borderId="11" xfId="11" applyFont="1" applyFill="1" applyBorder="1" applyAlignment="1">
      <alignment horizontal="center"/>
    </xf>
    <xf numFmtId="14" fontId="40" fillId="29" borderId="90" xfId="11" applyNumberFormat="1" applyFont="1" applyFill="1" applyBorder="1" applyAlignment="1">
      <alignment horizontal="center"/>
    </xf>
    <xf numFmtId="177" fontId="40" fillId="29" borderId="24" xfId="11" applyNumberFormat="1" applyFont="1" applyFill="1" applyBorder="1"/>
    <xf numFmtId="8" fontId="40" fillId="29" borderId="24" xfId="11" applyNumberFormat="1" applyFont="1" applyFill="1" applyBorder="1"/>
    <xf numFmtId="8" fontId="40" fillId="29" borderId="25" xfId="11" applyNumberFormat="1" applyFont="1" applyFill="1" applyBorder="1"/>
    <xf numFmtId="8" fontId="40" fillId="29" borderId="13" xfId="11" applyNumberFormat="1" applyFont="1" applyFill="1" applyBorder="1"/>
    <xf numFmtId="177" fontId="40" fillId="29" borderId="19" xfId="11" applyNumberFormat="1" applyFont="1" applyFill="1" applyBorder="1"/>
    <xf numFmtId="8" fontId="40" fillId="29" borderId="19" xfId="11" applyNumberFormat="1" applyFont="1" applyFill="1" applyBorder="1"/>
    <xf numFmtId="8" fontId="40" fillId="29" borderId="91" xfId="11" applyNumberFormat="1" applyFont="1" applyFill="1" applyBorder="1"/>
    <xf numFmtId="177" fontId="40" fillId="29" borderId="71" xfId="11" applyNumberFormat="1" applyFont="1" applyFill="1" applyBorder="1"/>
    <xf numFmtId="8" fontId="40" fillId="29" borderId="71" xfId="11" applyNumberFormat="1" applyFont="1" applyFill="1" applyBorder="1"/>
    <xf numFmtId="8" fontId="40" fillId="29" borderId="92" xfId="11" applyNumberFormat="1" applyFont="1" applyFill="1" applyBorder="1"/>
    <xf numFmtId="0" fontId="40" fillId="29" borderId="6" xfId="11" applyFont="1" applyFill="1" applyBorder="1" applyAlignment="1">
      <alignment horizontal="center"/>
    </xf>
    <xf numFmtId="14" fontId="40" fillId="29" borderId="93" xfId="11" applyNumberFormat="1" applyFont="1" applyFill="1" applyBorder="1" applyAlignment="1">
      <alignment horizontal="center"/>
    </xf>
    <xf numFmtId="177" fontId="40" fillId="29" borderId="73" xfId="11" applyNumberFormat="1" applyFont="1" applyFill="1" applyBorder="1"/>
    <xf numFmtId="8" fontId="40" fillId="29" borderId="73" xfId="11" applyNumberFormat="1" applyFont="1" applyFill="1" applyBorder="1"/>
    <xf numFmtId="8" fontId="40" fillId="29" borderId="74" xfId="11" applyNumberFormat="1" applyFont="1" applyFill="1" applyBorder="1"/>
    <xf numFmtId="0" fontId="40" fillId="29" borderId="10" xfId="11" applyFont="1" applyFill="1" applyBorder="1"/>
    <xf numFmtId="1" fontId="0" fillId="8" borderId="2" xfId="0" applyNumberFormat="1" applyFill="1" applyBorder="1" applyAlignment="1" applyProtection="1">
      <alignment horizontal="left"/>
      <protection locked="0"/>
    </xf>
    <xf numFmtId="0" fontId="0" fillId="5" borderId="71" xfId="1" applyNumberFormat="1" applyFont="1" applyFill="1" applyBorder="1" applyAlignment="1" applyProtection="1">
      <alignment horizontal="left"/>
    </xf>
    <xf numFmtId="0" fontId="75" fillId="7" borderId="0" xfId="0" applyFont="1" applyFill="1"/>
    <xf numFmtId="2" fontId="0" fillId="0" borderId="0" xfId="0" applyNumberFormat="1"/>
    <xf numFmtId="0" fontId="7" fillId="30" borderId="2" xfId="0" applyFont="1" applyFill="1" applyBorder="1" applyAlignment="1">
      <alignment horizontal="left"/>
    </xf>
    <xf numFmtId="0" fontId="0" fillId="30" borderId="3" xfId="0" applyFill="1" applyBorder="1"/>
    <xf numFmtId="0" fontId="14" fillId="30" borderId="3" xfId="0" applyFont="1" applyFill="1" applyBorder="1" applyAlignment="1">
      <alignment horizontal="left"/>
    </xf>
    <xf numFmtId="0" fontId="29" fillId="30" borderId="3" xfId="0" applyFont="1" applyFill="1" applyBorder="1"/>
    <xf numFmtId="0" fontId="0" fillId="0" borderId="0" xfId="0" applyAlignment="1">
      <alignment horizontal="left" vertical="top"/>
    </xf>
    <xf numFmtId="1" fontId="0" fillId="17" borderId="1" xfId="0" applyNumberFormat="1" applyFill="1" applyBorder="1" applyAlignment="1" applyProtection="1">
      <alignment horizontal="center"/>
      <protection locked="0"/>
    </xf>
    <xf numFmtId="1" fontId="3" fillId="8" borderId="1" xfId="0" applyNumberFormat="1" applyFont="1" applyFill="1" applyBorder="1" applyProtection="1">
      <protection locked="0"/>
    </xf>
    <xf numFmtId="10" fontId="0" fillId="31" borderId="1" xfId="0" applyNumberFormat="1" applyFill="1" applyBorder="1"/>
    <xf numFmtId="166" fontId="0" fillId="7" borderId="0" xfId="0" applyNumberFormat="1" applyFill="1" applyAlignment="1" applyProtection="1">
      <alignment horizontal="right"/>
      <protection locked="0"/>
    </xf>
    <xf numFmtId="0" fontId="10" fillId="0" borderId="0" xfId="3"/>
    <xf numFmtId="44" fontId="0" fillId="16" borderId="1" xfId="1" applyFont="1" applyFill="1" applyBorder="1" applyAlignment="1">
      <alignment horizontal="right"/>
    </xf>
    <xf numFmtId="165" fontId="0" fillId="0" borderId="0" xfId="0" applyNumberFormat="1"/>
    <xf numFmtId="9" fontId="0" fillId="13" borderId="2" xfId="2" applyFont="1" applyFill="1" applyBorder="1" applyProtection="1"/>
    <xf numFmtId="9" fontId="2" fillId="9" borderId="2" xfId="0" applyNumberFormat="1" applyFont="1" applyFill="1" applyBorder="1"/>
    <xf numFmtId="9" fontId="0" fillId="0" borderId="0" xfId="1" applyNumberFormat="1" applyFont="1" applyFill="1" applyBorder="1" applyAlignment="1" applyProtection="1">
      <alignment horizontal="left"/>
      <protection locked="0"/>
    </xf>
    <xf numFmtId="42" fontId="0" fillId="8" borderId="71" xfId="1" applyNumberFormat="1" applyFont="1" applyFill="1" applyBorder="1" applyProtection="1">
      <protection locked="0"/>
    </xf>
    <xf numFmtId="0" fontId="2" fillId="0" borderId="0" xfId="0" applyFont="1" applyAlignment="1">
      <alignment horizontal="center" wrapText="1"/>
    </xf>
    <xf numFmtId="0" fontId="0" fillId="0" borderId="0" xfId="1" applyNumberFormat="1" applyFont="1" applyFill="1" applyBorder="1" applyAlignment="1" applyProtection="1">
      <alignment horizontal="center"/>
      <protection locked="0"/>
    </xf>
    <xf numFmtId="0" fontId="0" fillId="32" borderId="71" xfId="1" applyNumberFormat="1" applyFont="1" applyFill="1" applyBorder="1" applyAlignment="1" applyProtection="1">
      <alignment horizontal="left"/>
    </xf>
    <xf numFmtId="0" fontId="0" fillId="32" borderId="1" xfId="1" applyNumberFormat="1" applyFont="1" applyFill="1" applyBorder="1" applyAlignment="1" applyProtection="1">
      <alignment horizontal="left"/>
      <protection locked="0"/>
    </xf>
    <xf numFmtId="182" fontId="0" fillId="8" borderId="1" xfId="0" applyNumberFormat="1" applyFill="1" applyBorder="1" applyAlignment="1" applyProtection="1">
      <alignment horizontal="center"/>
      <protection locked="0"/>
    </xf>
    <xf numFmtId="44" fontId="0" fillId="32" borderId="1" xfId="0" applyNumberFormat="1" applyFill="1" applyBorder="1"/>
    <xf numFmtId="5" fontId="0" fillId="18" borderId="4" xfId="0" applyNumberFormat="1" applyFill="1" applyBorder="1" applyAlignment="1">
      <alignment horizontal="left" vertical="center" indent="1"/>
    </xf>
    <xf numFmtId="5" fontId="2" fillId="2" borderId="4" xfId="0" applyNumberFormat="1" applyFont="1" applyFill="1" applyBorder="1" applyAlignment="1">
      <alignment horizontal="left" vertical="center" indent="1"/>
    </xf>
    <xf numFmtId="5" fontId="0" fillId="18" borderId="4" xfId="0" applyNumberFormat="1" applyFill="1" applyBorder="1" applyAlignment="1">
      <alignment horizontal="left" vertical="center" indent="10"/>
    </xf>
    <xf numFmtId="5" fontId="2" fillId="2" borderId="4" xfId="0" applyNumberFormat="1" applyFont="1" applyFill="1" applyBorder="1" applyAlignment="1">
      <alignment horizontal="left" vertical="center" indent="10"/>
    </xf>
    <xf numFmtId="5" fontId="0" fillId="18" borderId="1" xfId="0" applyNumberFormat="1" applyFill="1" applyBorder="1" applyAlignment="1">
      <alignment horizontal="left" vertical="center" indent="1"/>
    </xf>
    <xf numFmtId="5" fontId="0" fillId="18" borderId="1" xfId="1" applyNumberFormat="1" applyFont="1" applyFill="1" applyBorder="1" applyAlignment="1" applyProtection="1">
      <alignment horizontal="left" vertical="center" indent="1"/>
    </xf>
    <xf numFmtId="0" fontId="0" fillId="32" borderId="30" xfId="1" applyNumberFormat="1" applyFont="1" applyFill="1" applyBorder="1" applyAlignment="1" applyProtection="1">
      <alignment horizontal="left"/>
      <protection locked="0"/>
    </xf>
    <xf numFmtId="44" fontId="0" fillId="33" borderId="1" xfId="1" applyFont="1" applyFill="1" applyBorder="1" applyProtection="1">
      <protection locked="0"/>
    </xf>
    <xf numFmtId="0" fontId="0" fillId="33" borderId="1" xfId="0" applyFill="1" applyBorder="1" applyAlignment="1">
      <alignment vertical="center"/>
    </xf>
    <xf numFmtId="0" fontId="0" fillId="32" borderId="1" xfId="0" applyFill="1" applyBorder="1" applyAlignment="1">
      <alignment horizontal="left"/>
    </xf>
    <xf numFmtId="171" fontId="0" fillId="32" borderId="1" xfId="0" applyNumberFormat="1" applyFill="1" applyBorder="1" applyAlignment="1">
      <alignment horizontal="left"/>
    </xf>
    <xf numFmtId="0" fontId="14" fillId="7" borderId="0" xfId="0" applyFont="1" applyFill="1" applyAlignment="1">
      <alignment horizontal="center" wrapText="1"/>
    </xf>
    <xf numFmtId="0" fontId="0" fillId="18" borderId="4" xfId="0" applyFill="1" applyBorder="1" applyAlignment="1">
      <alignment horizontal="left" vertical="center" indent="1"/>
    </xf>
    <xf numFmtId="7" fontId="0" fillId="18" borderId="4" xfId="0" applyNumberFormat="1" applyFill="1" applyBorder="1" applyAlignment="1">
      <alignment horizontal="left" vertical="center" indent="10"/>
    </xf>
    <xf numFmtId="0" fontId="0" fillId="0" borderId="0" xfId="0" applyAlignment="1">
      <alignment horizontal="left" vertical="center" indent="1"/>
    </xf>
    <xf numFmtId="0" fontId="5" fillId="7" borderId="0" xfId="0" applyFont="1" applyFill="1" applyAlignment="1">
      <alignment horizontal="left" vertical="top" wrapText="1"/>
    </xf>
    <xf numFmtId="169" fontId="0" fillId="32" borderId="1" xfId="4" applyNumberFormat="1" applyFont="1" applyFill="1" applyBorder="1" applyAlignment="1" applyProtection="1">
      <alignment horizontal="center"/>
    </xf>
    <xf numFmtId="9" fontId="0" fillId="32" borderId="1" xfId="0" applyNumberFormat="1" applyFill="1" applyBorder="1" applyAlignment="1">
      <alignment horizontal="right"/>
    </xf>
    <xf numFmtId="14" fontId="0" fillId="8" borderId="1" xfId="4" applyNumberFormat="1" applyFont="1" applyFill="1" applyBorder="1" applyAlignment="1" applyProtection="1">
      <alignment horizontal="left" vertical="center" indent="1"/>
      <protection locked="0"/>
    </xf>
    <xf numFmtId="0" fontId="0" fillId="10" borderId="1" xfId="0" applyFill="1" applyBorder="1" applyAlignment="1" applyProtection="1">
      <alignment horizontal="left" vertical="center" indent="1"/>
      <protection locked="0"/>
    </xf>
    <xf numFmtId="49" fontId="0" fillId="8" borderId="1" xfId="4" applyNumberFormat="1" applyFont="1" applyFill="1" applyBorder="1" applyAlignment="1" applyProtection="1">
      <alignment horizontal="left" vertical="center" indent="1"/>
      <protection locked="0"/>
    </xf>
    <xf numFmtId="0" fontId="0" fillId="0" borderId="0" xfId="0" applyAlignment="1">
      <alignment horizontal="center" vertical="center" wrapText="1"/>
    </xf>
    <xf numFmtId="9" fontId="0" fillId="0" borderId="0" xfId="2" applyFont="1" applyAlignment="1" applyProtection="1">
      <alignment horizontal="left" vertical="center" indent="1"/>
    </xf>
    <xf numFmtId="0" fontId="0" fillId="0" borderId="94" xfId="0" applyBorder="1" applyAlignment="1">
      <alignment horizontal="left" vertical="center" indent="1"/>
    </xf>
    <xf numFmtId="0" fontId="5" fillId="34" borderId="94" xfId="0" applyFont="1" applyFill="1" applyBorder="1" applyAlignment="1">
      <alignment horizontal="center" vertical="center" wrapText="1"/>
    </xf>
    <xf numFmtId="164" fontId="5" fillId="34" borderId="94" xfId="2" applyNumberFormat="1" applyFont="1" applyFill="1" applyBorder="1" applyAlignment="1" applyProtection="1">
      <alignment horizontal="center" vertical="center" wrapText="1"/>
    </xf>
    <xf numFmtId="0" fontId="0" fillId="32" borderId="1" xfId="1" applyNumberFormat="1" applyFont="1" applyFill="1" applyBorder="1" applyAlignment="1" applyProtection="1">
      <alignment horizontal="left"/>
    </xf>
    <xf numFmtId="164" fontId="0" fillId="7" borderId="0" xfId="2" applyNumberFormat="1" applyFont="1" applyFill="1" applyBorder="1" applyAlignment="1" applyProtection="1">
      <alignment horizontal="center"/>
    </xf>
    <xf numFmtId="166" fontId="76" fillId="0" borderId="94" xfId="0" applyNumberFormat="1" applyFont="1" applyBorder="1" applyAlignment="1">
      <alignment horizontal="left" vertical="center" indent="1"/>
    </xf>
    <xf numFmtId="0" fontId="5" fillId="7" borderId="0" xfId="0" applyFont="1" applyFill="1" applyProtection="1">
      <protection locked="0"/>
    </xf>
    <xf numFmtId="0" fontId="0" fillId="7" borderId="0" xfId="0" applyFill="1" applyAlignment="1">
      <alignment horizontal="left" vertical="center" indent="1"/>
    </xf>
    <xf numFmtId="0" fontId="5" fillId="0" borderId="0" xfId="0" applyFont="1" applyProtection="1">
      <protection locked="0"/>
    </xf>
    <xf numFmtId="164" fontId="0" fillId="7" borderId="0" xfId="2" applyNumberFormat="1" applyFont="1" applyFill="1" applyBorder="1" applyAlignment="1" applyProtection="1">
      <alignment horizontal="center" vertical="center" wrapText="1"/>
    </xf>
    <xf numFmtId="0" fontId="7" fillId="6" borderId="97" xfId="0" applyFont="1" applyFill="1" applyBorder="1"/>
    <xf numFmtId="0" fontId="14" fillId="6" borderId="96" xfId="0" applyFont="1" applyFill="1" applyBorder="1" applyAlignment="1">
      <alignment horizontal="left"/>
    </xf>
    <xf numFmtId="0" fontId="0" fillId="6" borderId="96" xfId="0" applyFill="1" applyBorder="1"/>
    <xf numFmtId="0" fontId="0" fillId="6" borderId="98" xfId="0" applyFill="1" applyBorder="1"/>
    <xf numFmtId="0" fontId="6" fillId="2" borderId="95" xfId="0" applyFont="1" applyFill="1" applyBorder="1"/>
    <xf numFmtId="0" fontId="6" fillId="2" borderId="99" xfId="0" applyFont="1" applyFill="1" applyBorder="1"/>
    <xf numFmtId="0" fontId="5" fillId="2" borderId="99" xfId="0" applyFont="1" applyFill="1" applyBorder="1"/>
    <xf numFmtId="0" fontId="5" fillId="2" borderId="100" xfId="0" applyFont="1" applyFill="1" applyBorder="1"/>
    <xf numFmtId="0" fontId="0" fillId="37" borderId="94" xfId="0" applyFill="1" applyBorder="1" applyAlignment="1">
      <alignment horizontal="left" vertical="center" indent="1"/>
    </xf>
    <xf numFmtId="166" fontId="0" fillId="37" borderId="94" xfId="0" applyNumberFormat="1" applyFill="1" applyBorder="1" applyAlignment="1">
      <alignment horizontal="left" vertical="center" indent="1"/>
    </xf>
    <xf numFmtId="3" fontId="0" fillId="17" borderId="1" xfId="0" applyNumberFormat="1" applyFill="1" applyBorder="1" applyAlignment="1" applyProtection="1">
      <alignment horizontal="center"/>
      <protection locked="0"/>
    </xf>
    <xf numFmtId="3" fontId="0" fillId="17" borderId="2" xfId="0" applyNumberFormat="1" applyFill="1" applyBorder="1" applyAlignment="1" applyProtection="1">
      <alignment horizontal="center"/>
      <protection locked="0"/>
    </xf>
    <xf numFmtId="3" fontId="0" fillId="11" borderId="2" xfId="0" applyNumberFormat="1" applyFill="1" applyBorder="1" applyAlignment="1" applyProtection="1">
      <alignment horizontal="center"/>
      <protection locked="0"/>
    </xf>
    <xf numFmtId="3" fontId="0" fillId="11" borderId="1" xfId="0" applyNumberFormat="1" applyFill="1" applyBorder="1" applyAlignment="1" applyProtection="1">
      <alignment horizontal="center"/>
      <protection locked="0"/>
    </xf>
    <xf numFmtId="5" fontId="0" fillId="17" borderId="1" xfId="1" applyNumberFormat="1" applyFont="1" applyFill="1" applyBorder="1" applyAlignment="1" applyProtection="1">
      <alignment horizontal="center"/>
      <protection locked="0"/>
    </xf>
    <xf numFmtId="5" fontId="0" fillId="11" borderId="2" xfId="0" applyNumberFormat="1" applyFill="1" applyBorder="1" applyAlignment="1" applyProtection="1">
      <alignment horizontal="center"/>
      <protection locked="0"/>
    </xf>
    <xf numFmtId="5" fontId="0" fillId="11" borderId="1" xfId="0" applyNumberFormat="1" applyFill="1" applyBorder="1" applyAlignment="1" applyProtection="1">
      <alignment horizontal="center"/>
      <protection locked="0"/>
    </xf>
    <xf numFmtId="5" fontId="0" fillId="5" borderId="1" xfId="1" applyNumberFormat="1" applyFont="1" applyFill="1" applyBorder="1" applyAlignment="1">
      <alignment horizontal="center"/>
    </xf>
    <xf numFmtId="5" fontId="0" fillId="38" borderId="30" xfId="1" applyNumberFormat="1" applyFont="1" applyFill="1" applyBorder="1" applyAlignment="1">
      <alignment horizontal="center"/>
    </xf>
    <xf numFmtId="5" fontId="0" fillId="11" borderId="1" xfId="1" applyNumberFormat="1" applyFont="1" applyFill="1" applyBorder="1" applyAlignment="1" applyProtection="1">
      <alignment horizontal="center"/>
      <protection locked="0"/>
    </xf>
    <xf numFmtId="0" fontId="0" fillId="35" borderId="1" xfId="0" applyFill="1" applyBorder="1" applyAlignment="1" applyProtection="1">
      <alignment horizontal="center"/>
      <protection locked="0"/>
    </xf>
    <xf numFmtId="5" fontId="2" fillId="2" borderId="1" xfId="1" applyNumberFormat="1" applyFont="1" applyFill="1" applyBorder="1" applyAlignment="1" applyProtection="1">
      <alignment horizontal="left" vertical="center" indent="1"/>
    </xf>
    <xf numFmtId="0" fontId="5" fillId="5" borderId="2" xfId="0" applyFont="1" applyFill="1" applyBorder="1" applyAlignment="1">
      <alignment horizontal="left"/>
    </xf>
    <xf numFmtId="0" fontId="5" fillId="5" borderId="4" xfId="0" applyFont="1" applyFill="1" applyBorder="1" applyAlignment="1">
      <alignment horizontal="left"/>
    </xf>
    <xf numFmtId="0" fontId="0" fillId="7" borderId="96" xfId="0" applyFill="1" applyBorder="1"/>
    <xf numFmtId="0" fontId="66" fillId="7" borderId="28" xfId="3" applyFont="1" applyFill="1" applyBorder="1" applyAlignment="1">
      <alignment horizontal="center" vertical="center"/>
    </xf>
    <xf numFmtId="0" fontId="3" fillId="23" borderId="19" xfId="0" applyFont="1" applyFill="1" applyBorder="1" applyAlignment="1">
      <alignment horizontal="center" vertical="center" wrapText="1"/>
    </xf>
    <xf numFmtId="0" fontId="3" fillId="24" borderId="19" xfId="0" applyFont="1" applyFill="1" applyBorder="1" applyAlignment="1">
      <alignment horizontal="center" vertical="center" wrapText="1"/>
    </xf>
    <xf numFmtId="0" fontId="3" fillId="25" borderId="19" xfId="0" applyFont="1" applyFill="1" applyBorder="1" applyAlignment="1">
      <alignment horizontal="center" vertical="center" wrapText="1"/>
    </xf>
    <xf numFmtId="0" fontId="66" fillId="7" borderId="38" xfId="3" applyFont="1" applyFill="1" applyBorder="1" applyAlignment="1">
      <alignment horizontal="center" vertical="center"/>
    </xf>
    <xf numFmtId="0" fontId="26" fillId="7" borderId="0" xfId="0" applyFont="1" applyFill="1" applyAlignment="1">
      <alignment horizontal="left" vertical="center"/>
    </xf>
    <xf numFmtId="0" fontId="79" fillId="7" borderId="0" xfId="3" applyFont="1" applyFill="1" applyAlignment="1">
      <alignment vertical="center"/>
    </xf>
    <xf numFmtId="0" fontId="26" fillId="7" borderId="0" xfId="0" applyFont="1" applyFill="1" applyAlignment="1">
      <alignment vertical="center"/>
    </xf>
    <xf numFmtId="0" fontId="79" fillId="7" borderId="0" xfId="3" applyFont="1" applyFill="1" applyAlignment="1">
      <alignment horizontal="left"/>
    </xf>
    <xf numFmtId="0" fontId="79" fillId="7" borderId="0" xfId="3" applyFont="1" applyFill="1"/>
    <xf numFmtId="9" fontId="0" fillId="7" borderId="0" xfId="2" applyFont="1" applyFill="1" applyAlignment="1" applyProtection="1">
      <alignment horizontal="left" vertical="center" indent="1"/>
    </xf>
    <xf numFmtId="0" fontId="0" fillId="7" borderId="94" xfId="0" applyFill="1" applyBorder="1" applyAlignment="1">
      <alignment horizontal="left" vertical="center" indent="1"/>
    </xf>
    <xf numFmtId="9" fontId="0" fillId="7" borderId="94" xfId="2" applyFont="1" applyFill="1" applyBorder="1" applyAlignment="1">
      <alignment horizontal="left" vertical="center" indent="1"/>
    </xf>
    <xf numFmtId="166" fontId="0" fillId="7" borderId="94" xfId="0" applyNumberFormat="1" applyFill="1" applyBorder="1" applyAlignment="1">
      <alignment horizontal="left" vertical="center" indent="1"/>
    </xf>
    <xf numFmtId="0" fontId="0" fillId="39" borderId="1" xfId="1" applyNumberFormat="1" applyFont="1" applyFill="1" applyBorder="1" applyAlignment="1">
      <alignment horizontal="center"/>
    </xf>
    <xf numFmtId="0" fontId="0" fillId="39" borderId="1" xfId="1" applyNumberFormat="1" applyFont="1" applyFill="1" applyBorder="1" applyAlignment="1" applyProtection="1">
      <alignment horizontal="center"/>
      <protection locked="0"/>
    </xf>
    <xf numFmtId="183" fontId="0" fillId="8" borderId="1" xfId="1" applyNumberFormat="1" applyFont="1" applyFill="1" applyBorder="1" applyAlignment="1" applyProtection="1">
      <alignment horizontal="left"/>
      <protection locked="0"/>
    </xf>
    <xf numFmtId="183" fontId="0" fillId="0" borderId="94" xfId="0" applyNumberFormat="1" applyBorder="1" applyAlignment="1">
      <alignment horizontal="left" vertical="center" indent="1"/>
    </xf>
    <xf numFmtId="0" fontId="2" fillId="9" borderId="30" xfId="0" applyFont="1" applyFill="1" applyBorder="1" applyAlignment="1">
      <alignment horizontal="center" vertical="center" wrapText="1"/>
    </xf>
    <xf numFmtId="0" fontId="0" fillId="7" borderId="0" xfId="0" applyFill="1" applyAlignment="1">
      <alignment horizontal="center" vertical="center"/>
    </xf>
    <xf numFmtId="44" fontId="2" fillId="9" borderId="1" xfId="1" applyFont="1" applyFill="1" applyBorder="1" applyAlignment="1">
      <alignment horizontal="center" vertical="center"/>
    </xf>
    <xf numFmtId="0" fontId="0" fillId="7" borderId="0" xfId="0" applyFill="1" applyAlignment="1" applyProtection="1">
      <alignment horizontal="center" vertical="center"/>
      <protection locked="0"/>
    </xf>
    <xf numFmtId="14" fontId="2" fillId="9" borderId="1" xfId="1" applyNumberFormat="1" applyFont="1" applyFill="1" applyBorder="1" applyAlignment="1">
      <alignment horizontal="center" vertical="center"/>
    </xf>
    <xf numFmtId="0" fontId="5" fillId="36" borderId="101" xfId="0" applyFont="1" applyFill="1" applyBorder="1" applyAlignment="1">
      <alignment horizontal="center" vertical="center" wrapText="1"/>
    </xf>
    <xf numFmtId="44" fontId="0" fillId="33" borderId="1" xfId="1" applyFont="1" applyFill="1" applyBorder="1" applyAlignment="1" applyProtection="1">
      <alignment horizontal="center"/>
      <protection locked="0"/>
    </xf>
    <xf numFmtId="42" fontId="0" fillId="5" borderId="1" xfId="1" applyNumberFormat="1" applyFont="1" applyFill="1" applyBorder="1" applyProtection="1"/>
    <xf numFmtId="42" fontId="0" fillId="8" borderId="1" xfId="0" applyNumberFormat="1" applyFill="1" applyBorder="1" applyProtection="1">
      <protection locked="0"/>
    </xf>
    <xf numFmtId="0" fontId="0" fillId="8" borderId="1" xfId="0" applyFill="1" applyBorder="1" applyAlignment="1" applyProtection="1">
      <alignment horizontal="center" vertical="center"/>
      <protection locked="0"/>
    </xf>
    <xf numFmtId="0" fontId="58" fillId="7" borderId="0" xfId="0" applyFont="1" applyFill="1"/>
    <xf numFmtId="0" fontId="0" fillId="7" borderId="0" xfId="0" applyFill="1" applyAlignment="1">
      <alignment horizontal="center" vertical="center" textRotation="90"/>
    </xf>
    <xf numFmtId="0" fontId="0" fillId="7" borderId="0" xfId="1" applyNumberFormat="1" applyFont="1" applyFill="1" applyBorder="1" applyAlignment="1" applyProtection="1">
      <alignment horizontal="left"/>
      <protection locked="0"/>
    </xf>
    <xf numFmtId="14" fontId="0" fillId="7" borderId="0" xfId="0" applyNumberFormat="1" applyFill="1" applyAlignment="1">
      <alignment horizontal="left"/>
    </xf>
    <xf numFmtId="0" fontId="0" fillId="7" borderId="0" xfId="0" applyFill="1" applyAlignment="1">
      <alignment horizontal="left" vertical="top"/>
    </xf>
    <xf numFmtId="0" fontId="0" fillId="26" borderId="30" xfId="0" applyFill="1" applyBorder="1" applyAlignment="1">
      <alignment horizontal="center" vertical="top" wrapText="1"/>
    </xf>
    <xf numFmtId="0" fontId="0" fillId="26" borderId="48" xfId="0" applyFill="1" applyBorder="1" applyAlignment="1">
      <alignment horizontal="center" vertical="top" wrapText="1"/>
    </xf>
    <xf numFmtId="0" fontId="0" fillId="26" borderId="19" xfId="0" applyFill="1" applyBorder="1" applyAlignment="1">
      <alignment horizontal="center" vertical="top" wrapText="1"/>
    </xf>
    <xf numFmtId="0" fontId="0" fillId="7" borderId="0" xfId="0" applyFill="1" applyAlignment="1">
      <alignment horizontal="left" vertical="top" wrapText="1"/>
    </xf>
    <xf numFmtId="0" fontId="3" fillId="7" borderId="0" xfId="0" applyFont="1" applyFill="1" applyAlignment="1">
      <alignment horizontal="left" vertical="top" wrapText="1"/>
    </xf>
    <xf numFmtId="14" fontId="26" fillId="7" borderId="0" xfId="0" applyNumberFormat="1" applyFont="1" applyFill="1" applyAlignment="1">
      <alignment horizontal="left"/>
    </xf>
    <xf numFmtId="0" fontId="78" fillId="7" borderId="0" xfId="3" applyFont="1" applyFill="1"/>
    <xf numFmtId="0" fontId="78" fillId="0" borderId="0" xfId="3" applyFont="1" applyFill="1"/>
    <xf numFmtId="0" fontId="67" fillId="7" borderId="14" xfId="0" applyFont="1" applyFill="1" applyBorder="1" applyAlignment="1">
      <alignment horizontal="center" vertical="center"/>
    </xf>
    <xf numFmtId="0" fontId="67" fillId="7" borderId="70" xfId="0" applyFont="1" applyFill="1" applyBorder="1" applyAlignment="1">
      <alignment horizontal="center" vertical="center"/>
    </xf>
    <xf numFmtId="0" fontId="67" fillId="7" borderId="26" xfId="0" applyFont="1" applyFill="1" applyBorder="1" applyAlignment="1">
      <alignment horizontal="center" vertical="center"/>
    </xf>
    <xf numFmtId="0" fontId="78" fillId="7" borderId="18" xfId="3" applyFont="1" applyFill="1" applyBorder="1" applyAlignment="1">
      <alignment horizontal="center" vertical="center"/>
    </xf>
    <xf numFmtId="0" fontId="78" fillId="7" borderId="0" xfId="3" applyFont="1" applyFill="1" applyBorder="1" applyAlignment="1">
      <alignment horizontal="center" vertical="center"/>
    </xf>
    <xf numFmtId="0" fontId="78" fillId="7" borderId="27" xfId="3" applyFont="1" applyFill="1" applyBorder="1" applyAlignment="1">
      <alignment horizontal="center" vertical="center"/>
    </xf>
    <xf numFmtId="0" fontId="3" fillId="23" borderId="1" xfId="0" applyFont="1" applyFill="1" applyBorder="1" applyAlignment="1">
      <alignment horizontal="center"/>
    </xf>
    <xf numFmtId="0" fontId="0" fillId="5" borderId="2" xfId="0" applyFill="1" applyBorder="1" applyAlignment="1">
      <alignment horizontal="left"/>
    </xf>
    <xf numFmtId="0" fontId="0" fillId="5" borderId="3" xfId="0" applyFill="1" applyBorder="1" applyAlignment="1">
      <alignment horizontal="left"/>
    </xf>
    <xf numFmtId="0" fontId="0" fillId="5" borderId="4" xfId="0" applyFill="1" applyBorder="1" applyAlignment="1">
      <alignment horizontal="left"/>
    </xf>
    <xf numFmtId="0" fontId="0" fillId="5" borderId="2" xfId="1" applyNumberFormat="1" applyFont="1" applyFill="1" applyBorder="1" applyAlignment="1" applyProtection="1">
      <alignment horizontal="left"/>
    </xf>
    <xf numFmtId="0" fontId="0" fillId="5" borderId="3" xfId="1" applyNumberFormat="1" applyFont="1" applyFill="1" applyBorder="1" applyAlignment="1" applyProtection="1">
      <alignment horizontal="left"/>
    </xf>
    <xf numFmtId="0" fontId="0" fillId="5" borderId="4" xfId="1" applyNumberFormat="1" applyFont="1" applyFill="1" applyBorder="1" applyAlignment="1" applyProtection="1">
      <alignment horizontal="left"/>
    </xf>
    <xf numFmtId="0" fontId="0" fillId="5" borderId="1" xfId="1" applyNumberFormat="1" applyFont="1" applyFill="1" applyBorder="1" applyAlignment="1" applyProtection="1">
      <alignment horizontal="left"/>
    </xf>
    <xf numFmtId="0" fontId="0" fillId="5" borderId="14" xfId="0" applyFill="1" applyBorder="1" applyAlignment="1">
      <alignment horizontal="left"/>
    </xf>
    <xf numFmtId="0" fontId="0" fillId="5" borderId="5" xfId="0" applyFill="1" applyBorder="1" applyAlignment="1">
      <alignment horizontal="left"/>
    </xf>
    <xf numFmtId="0" fontId="0" fillId="5" borderId="26" xfId="0" applyFill="1" applyBorder="1" applyAlignment="1">
      <alignment horizontal="left"/>
    </xf>
    <xf numFmtId="9" fontId="0" fillId="5" borderId="2" xfId="2" applyFont="1" applyFill="1" applyBorder="1" applyAlignment="1" applyProtection="1">
      <alignment horizontal="left"/>
    </xf>
    <xf numFmtId="9" fontId="0" fillId="5" borderId="3" xfId="2" applyFont="1" applyFill="1" applyBorder="1" applyAlignment="1" applyProtection="1">
      <alignment horizontal="left"/>
    </xf>
    <xf numFmtId="9" fontId="0" fillId="5" borderId="4" xfId="2" applyFont="1" applyFill="1" applyBorder="1" applyAlignment="1" applyProtection="1">
      <alignment horizontal="left"/>
    </xf>
    <xf numFmtId="0" fontId="0" fillId="32" borderId="2" xfId="0" applyFill="1" applyBorder="1" applyAlignment="1">
      <alignment horizontal="left"/>
    </xf>
    <xf numFmtId="0" fontId="0" fillId="32" borderId="4" xfId="0" applyFill="1" applyBorder="1" applyAlignment="1">
      <alignment horizontal="left"/>
    </xf>
    <xf numFmtId="0" fontId="0" fillId="32" borderId="2" xfId="1" applyNumberFormat="1" applyFont="1" applyFill="1" applyBorder="1" applyAlignment="1" applyProtection="1">
      <alignment horizontal="left"/>
    </xf>
    <xf numFmtId="0" fontId="0" fillId="32" borderId="3" xfId="1" applyNumberFormat="1" applyFont="1" applyFill="1" applyBorder="1" applyAlignment="1" applyProtection="1">
      <alignment horizontal="left"/>
    </xf>
    <xf numFmtId="0" fontId="0" fillId="32" borderId="4" xfId="1" applyNumberFormat="1" applyFont="1" applyFill="1" applyBorder="1" applyAlignment="1" applyProtection="1">
      <alignment horizontal="left"/>
    </xf>
    <xf numFmtId="0" fontId="15" fillId="7" borderId="0" xfId="0" applyFont="1" applyFill="1" applyAlignment="1">
      <alignment horizontal="left"/>
    </xf>
    <xf numFmtId="0" fontId="2" fillId="9" borderId="2" xfId="0" applyFont="1" applyFill="1" applyBorder="1" applyAlignment="1">
      <alignment horizontal="center"/>
    </xf>
    <xf numFmtId="0" fontId="2" fillId="9" borderId="3" xfId="0" applyFont="1" applyFill="1" applyBorder="1" applyAlignment="1">
      <alignment horizontal="center"/>
    </xf>
    <xf numFmtId="0" fontId="2" fillId="9" borderId="4" xfId="0" applyFont="1" applyFill="1" applyBorder="1" applyAlignment="1">
      <alignment horizontal="center"/>
    </xf>
    <xf numFmtId="0" fontId="26" fillId="8" borderId="2" xfId="0" applyFont="1" applyFill="1" applyBorder="1" applyAlignment="1" applyProtection="1">
      <alignment horizontal="center"/>
      <protection locked="0"/>
    </xf>
    <xf numFmtId="0" fontId="26" fillId="8" borderId="3" xfId="0" applyFont="1" applyFill="1" applyBorder="1" applyAlignment="1" applyProtection="1">
      <alignment horizontal="center"/>
      <protection locked="0"/>
    </xf>
    <xf numFmtId="0" fontId="26" fillId="8" borderId="4" xfId="0" applyFont="1" applyFill="1" applyBorder="1" applyAlignment="1" applyProtection="1">
      <alignment horizontal="center"/>
      <protection locked="0"/>
    </xf>
    <xf numFmtId="0" fontId="0" fillId="8" borderId="1" xfId="1" applyNumberFormat="1" applyFont="1" applyFill="1" applyBorder="1" applyAlignment="1" applyProtection="1">
      <alignment horizontal="left"/>
      <protection locked="0"/>
    </xf>
    <xf numFmtId="0" fontId="4" fillId="7" borderId="0" xfId="0" applyFont="1" applyFill="1" applyAlignment="1">
      <alignment horizontal="left" wrapText="1"/>
    </xf>
    <xf numFmtId="0" fontId="10" fillId="7" borderId="0" xfId="3" applyFill="1" applyAlignment="1">
      <alignment horizontal="left"/>
    </xf>
    <xf numFmtId="0" fontId="10" fillId="7" borderId="27" xfId="3" applyFill="1" applyBorder="1" applyAlignment="1">
      <alignment horizontal="left"/>
    </xf>
    <xf numFmtId="0" fontId="0" fillId="7" borderId="0" xfId="0" applyFill="1" applyAlignment="1">
      <alignment horizontal="left"/>
    </xf>
    <xf numFmtId="0" fontId="0" fillId="7" borderId="27" xfId="0" applyFill="1" applyBorder="1" applyAlignment="1">
      <alignment horizontal="left"/>
    </xf>
    <xf numFmtId="0" fontId="23" fillId="5" borderId="2" xfId="0" applyFont="1" applyFill="1" applyBorder="1" applyAlignment="1">
      <alignment horizontal="left"/>
    </xf>
    <xf numFmtId="0" fontId="23" fillId="5" borderId="3" xfId="0" applyFont="1" applyFill="1" applyBorder="1" applyAlignment="1">
      <alignment horizontal="left"/>
    </xf>
    <xf numFmtId="0" fontId="23" fillId="5" borderId="4" xfId="0" applyFont="1" applyFill="1" applyBorder="1" applyAlignment="1">
      <alignment horizontal="left"/>
    </xf>
    <xf numFmtId="0" fontId="0" fillId="8" borderId="2" xfId="0" applyFill="1" applyBorder="1" applyAlignment="1" applyProtection="1">
      <alignment horizontal="left"/>
      <protection locked="0"/>
    </xf>
    <xf numFmtId="0" fontId="0" fillId="8" borderId="4" xfId="0" applyFill="1" applyBorder="1" applyAlignment="1" applyProtection="1">
      <alignment horizontal="left"/>
      <protection locked="0"/>
    </xf>
    <xf numFmtId="9" fontId="22" fillId="5" borderId="2" xfId="2" applyFont="1" applyFill="1" applyBorder="1" applyAlignment="1">
      <alignment horizontal="left"/>
    </xf>
    <xf numFmtId="9" fontId="22" fillId="5" borderId="3" xfId="2" applyFont="1" applyFill="1" applyBorder="1" applyAlignment="1">
      <alignment horizontal="left"/>
    </xf>
    <xf numFmtId="9" fontId="22" fillId="5" borderId="4" xfId="2" applyFont="1" applyFill="1" applyBorder="1" applyAlignment="1">
      <alignment horizontal="left"/>
    </xf>
    <xf numFmtId="0" fontId="22" fillId="5" borderId="2" xfId="0" applyFont="1" applyFill="1" applyBorder="1" applyAlignment="1">
      <alignment horizontal="left"/>
    </xf>
    <xf numFmtId="0" fontId="22" fillId="5" borderId="3" xfId="0" applyFont="1" applyFill="1" applyBorder="1" applyAlignment="1">
      <alignment horizontal="left"/>
    </xf>
    <xf numFmtId="0" fontId="22" fillId="5" borderId="4" xfId="0" applyFont="1" applyFill="1" applyBorder="1" applyAlignment="1">
      <alignment horizontal="left"/>
    </xf>
    <xf numFmtId="0" fontId="0" fillId="6" borderId="2" xfId="0"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0" fillId="5" borderId="2" xfId="0" applyFill="1" applyBorder="1" applyAlignment="1">
      <alignment horizontal="left" vertical="top" wrapText="1"/>
    </xf>
    <xf numFmtId="0" fontId="0" fillId="5" borderId="3" xfId="0" applyFill="1" applyBorder="1" applyAlignment="1">
      <alignment horizontal="left" vertical="top" wrapText="1"/>
    </xf>
    <xf numFmtId="0" fontId="0" fillId="5" borderId="4" xfId="0" applyFill="1" applyBorder="1" applyAlignment="1">
      <alignment horizontal="left" vertical="top" wrapText="1"/>
    </xf>
    <xf numFmtId="0" fontId="0" fillId="8" borderId="2" xfId="0" applyFill="1" applyBorder="1" applyAlignment="1" applyProtection="1">
      <alignment horizontal="left" vertical="top" wrapText="1"/>
      <protection locked="0"/>
    </xf>
    <xf numFmtId="0" fontId="0" fillId="8" borderId="3" xfId="0" applyFill="1" applyBorder="1" applyAlignment="1" applyProtection="1">
      <alignment horizontal="left" vertical="top" wrapText="1"/>
      <protection locked="0"/>
    </xf>
    <xf numFmtId="0" fontId="0" fillId="8" borderId="4" xfId="0" applyFill="1" applyBorder="1" applyAlignment="1" applyProtection="1">
      <alignment horizontal="left" vertical="top" wrapText="1"/>
      <protection locked="0"/>
    </xf>
    <xf numFmtId="0" fontId="2" fillId="2" borderId="2" xfId="0" applyFont="1" applyFill="1" applyBorder="1" applyAlignment="1">
      <alignment horizontal="left"/>
    </xf>
    <xf numFmtId="0" fontId="2" fillId="2" borderId="3" xfId="0" applyFont="1" applyFill="1" applyBorder="1" applyAlignment="1">
      <alignment horizontal="left"/>
    </xf>
    <xf numFmtId="0" fontId="2" fillId="2" borderId="4" xfId="0" applyFont="1" applyFill="1" applyBorder="1" applyAlignment="1">
      <alignment horizontal="left"/>
    </xf>
    <xf numFmtId="0" fontId="2" fillId="9" borderId="2" xfId="0" applyFont="1" applyFill="1" applyBorder="1" applyAlignment="1">
      <alignment horizontal="right"/>
    </xf>
    <xf numFmtId="0" fontId="2" fillId="9" borderId="3" xfId="0" applyFont="1" applyFill="1" applyBorder="1" applyAlignment="1">
      <alignment horizontal="right"/>
    </xf>
    <xf numFmtId="0" fontId="2" fillId="9" borderId="4" xfId="0" applyFont="1" applyFill="1" applyBorder="1" applyAlignment="1">
      <alignment horizontal="right"/>
    </xf>
    <xf numFmtId="0" fontId="0" fillId="5" borderId="2" xfId="0" applyFill="1" applyBorder="1" applyAlignment="1">
      <alignment horizontal="left" wrapText="1"/>
    </xf>
    <xf numFmtId="0" fontId="0" fillId="5" borderId="3" xfId="0" applyFill="1" applyBorder="1" applyAlignment="1">
      <alignment horizontal="left" wrapText="1"/>
    </xf>
    <xf numFmtId="0" fontId="0" fillId="5" borderId="4" xfId="0" applyFill="1" applyBorder="1" applyAlignment="1">
      <alignment horizontal="left" wrapText="1"/>
    </xf>
    <xf numFmtId="0" fontId="0" fillId="6" borderId="2" xfId="0" applyFill="1" applyBorder="1" applyAlignment="1">
      <alignment horizontal="left" wrapText="1"/>
    </xf>
    <xf numFmtId="0" fontId="0" fillId="6" borderId="3" xfId="0" applyFill="1" applyBorder="1" applyAlignment="1">
      <alignment horizontal="left" wrapText="1"/>
    </xf>
    <xf numFmtId="0" fontId="0" fillId="6" borderId="4" xfId="0" applyFill="1" applyBorder="1" applyAlignment="1">
      <alignment horizontal="left" wrapText="1"/>
    </xf>
    <xf numFmtId="0" fontId="5" fillId="7" borderId="0" xfId="0" applyFont="1" applyFill="1" applyAlignment="1">
      <alignment horizontal="left" wrapText="1"/>
    </xf>
    <xf numFmtId="0" fontId="5" fillId="7" borderId="27" xfId="0" applyFont="1" applyFill="1" applyBorder="1" applyAlignment="1">
      <alignment horizontal="left" wrapText="1"/>
    </xf>
    <xf numFmtId="0" fontId="5" fillId="5" borderId="2" xfId="0" applyFont="1" applyFill="1" applyBorder="1" applyAlignment="1">
      <alignment horizontal="left"/>
    </xf>
    <xf numFmtId="0" fontId="5" fillId="5" borderId="4" xfId="0" applyFont="1" applyFill="1" applyBorder="1" applyAlignment="1">
      <alignment horizontal="left"/>
    </xf>
    <xf numFmtId="0" fontId="27" fillId="9" borderId="2" xfId="0" applyFont="1" applyFill="1" applyBorder="1" applyAlignment="1">
      <alignment horizontal="center" vertical="center" wrapText="1"/>
    </xf>
    <xf numFmtId="0" fontId="27" fillId="9" borderId="3" xfId="0" applyFont="1" applyFill="1" applyBorder="1" applyAlignment="1">
      <alignment horizontal="center" vertical="center" wrapText="1"/>
    </xf>
    <xf numFmtId="0" fontId="27" fillId="9" borderId="4"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4" fillId="7" borderId="0" xfId="0" applyFont="1" applyFill="1" applyAlignment="1">
      <alignment horizontal="left" vertical="top" wrapText="1"/>
    </xf>
    <xf numFmtId="0" fontId="0" fillId="8" borderId="2" xfId="1" applyNumberFormat="1" applyFont="1" applyFill="1" applyBorder="1" applyAlignment="1" applyProtection="1">
      <alignment horizontal="left"/>
      <protection locked="0"/>
    </xf>
    <xf numFmtId="0" fontId="0" fillId="8" borderId="4" xfId="1" applyNumberFormat="1" applyFont="1" applyFill="1" applyBorder="1" applyAlignment="1" applyProtection="1">
      <alignment horizontal="left"/>
      <protection locked="0"/>
    </xf>
    <xf numFmtId="0" fontId="0" fillId="5" borderId="2" xfId="0" applyFill="1" applyBorder="1" applyAlignment="1">
      <alignment horizontal="center"/>
    </xf>
    <xf numFmtId="0" fontId="0" fillId="5" borderId="4" xfId="0" applyFill="1" applyBorder="1" applyAlignment="1">
      <alignment horizontal="center"/>
    </xf>
    <xf numFmtId="0" fontId="5" fillId="8" borderId="2" xfId="0" applyFont="1" applyFill="1" applyBorder="1" applyAlignment="1" applyProtection="1">
      <alignment horizontal="left"/>
      <protection locked="0"/>
    </xf>
    <xf numFmtId="0" fontId="5" fillId="8" borderId="4" xfId="0" applyFont="1" applyFill="1" applyBorder="1" applyAlignment="1" applyProtection="1">
      <alignment horizontal="left"/>
      <protection locked="0"/>
    </xf>
    <xf numFmtId="0" fontId="5" fillId="22" borderId="2" xfId="0" applyFont="1" applyFill="1" applyBorder="1" applyAlignment="1">
      <alignment horizontal="left" vertical="top" wrapText="1"/>
    </xf>
    <xf numFmtId="0" fontId="5" fillId="22" borderId="3" xfId="0" applyFont="1" applyFill="1" applyBorder="1" applyAlignment="1">
      <alignment horizontal="left" vertical="top" wrapText="1"/>
    </xf>
    <xf numFmtId="0" fontId="5" fillId="22" borderId="4" xfId="0" applyFont="1" applyFill="1" applyBorder="1" applyAlignment="1">
      <alignment horizontal="left" vertical="top" wrapText="1"/>
    </xf>
    <xf numFmtId="0" fontId="3" fillId="6" borderId="2" xfId="0" applyFont="1" applyFill="1" applyBorder="1" applyAlignment="1">
      <alignment horizontal="left" wrapText="1"/>
    </xf>
    <xf numFmtId="0" fontId="3" fillId="6" borderId="3" xfId="0" applyFont="1" applyFill="1" applyBorder="1" applyAlignment="1">
      <alignment horizontal="left" wrapText="1"/>
    </xf>
    <xf numFmtId="0" fontId="3" fillId="6" borderId="4" xfId="0" applyFont="1" applyFill="1" applyBorder="1" applyAlignment="1">
      <alignment horizontal="left" wrapText="1"/>
    </xf>
    <xf numFmtId="0" fontId="3" fillId="5" borderId="2" xfId="0" applyFont="1" applyFill="1" applyBorder="1" applyAlignment="1">
      <alignment horizontal="left" wrapText="1"/>
    </xf>
    <xf numFmtId="0" fontId="3" fillId="5" borderId="3" xfId="0" applyFont="1" applyFill="1" applyBorder="1" applyAlignment="1">
      <alignment horizontal="left" wrapText="1"/>
    </xf>
    <xf numFmtId="0" fontId="3" fillId="5" borderId="4" xfId="0" applyFont="1" applyFill="1" applyBorder="1" applyAlignment="1">
      <alignment horizontal="left" wrapText="1"/>
    </xf>
    <xf numFmtId="0" fontId="2" fillId="2" borderId="2" xfId="0" applyFont="1" applyFill="1" applyBorder="1" applyAlignment="1">
      <alignment horizontal="right"/>
    </xf>
    <xf numFmtId="0" fontId="2" fillId="2" borderId="3" xfId="0" applyFont="1" applyFill="1" applyBorder="1" applyAlignment="1">
      <alignment horizontal="right"/>
    </xf>
    <xf numFmtId="0" fontId="2" fillId="2" borderId="4" xfId="0" applyFont="1" applyFill="1" applyBorder="1" applyAlignment="1">
      <alignment horizontal="right"/>
    </xf>
    <xf numFmtId="0" fontId="0" fillId="3" borderId="43" xfId="0" applyFill="1" applyBorder="1" applyAlignment="1">
      <alignment horizontal="center" vertical="center" textRotation="90"/>
    </xf>
    <xf numFmtId="0" fontId="0" fillId="3" borderId="44" xfId="0" applyFill="1" applyBorder="1" applyAlignment="1">
      <alignment horizontal="center" vertical="center" textRotation="90"/>
    </xf>
    <xf numFmtId="0" fontId="0" fillId="3" borderId="45" xfId="0" applyFill="1" applyBorder="1" applyAlignment="1">
      <alignment horizontal="center" vertical="center" textRotation="90"/>
    </xf>
    <xf numFmtId="0" fontId="0" fillId="3" borderId="35" xfId="0" applyFill="1" applyBorder="1" applyAlignment="1">
      <alignment horizontal="center" vertical="center" textRotation="90" wrapText="1"/>
    </xf>
    <xf numFmtId="0" fontId="0" fillId="3" borderId="47" xfId="0" applyFill="1" applyBorder="1" applyAlignment="1">
      <alignment horizontal="center" vertical="center" textRotation="90" wrapText="1"/>
    </xf>
    <xf numFmtId="0" fontId="0" fillId="3" borderId="36" xfId="0" applyFill="1" applyBorder="1" applyAlignment="1">
      <alignment horizontal="center" vertical="center" textRotation="90" wrapText="1"/>
    </xf>
    <xf numFmtId="0" fontId="0" fillId="3" borderId="37" xfId="0" applyFill="1" applyBorder="1" applyAlignment="1">
      <alignment horizontal="center" vertical="center" textRotation="90" wrapText="1"/>
    </xf>
    <xf numFmtId="0" fontId="0" fillId="3" borderId="35" xfId="0" applyFill="1" applyBorder="1" applyAlignment="1">
      <alignment horizontal="center" vertical="center" textRotation="90"/>
    </xf>
    <xf numFmtId="0" fontId="0" fillId="3" borderId="36" xfId="0" applyFill="1" applyBorder="1" applyAlignment="1">
      <alignment horizontal="center" vertical="center" textRotation="90"/>
    </xf>
    <xf numFmtId="0" fontId="0" fillId="3" borderId="37" xfId="0" applyFill="1" applyBorder="1" applyAlignment="1">
      <alignment horizontal="center" vertical="center" textRotation="90"/>
    </xf>
    <xf numFmtId="0" fontId="0" fillId="3" borderId="32" xfId="0" applyFill="1" applyBorder="1" applyAlignment="1">
      <alignment horizontal="center" vertical="center" textRotation="90"/>
    </xf>
    <xf numFmtId="0" fontId="0" fillId="3" borderId="33" xfId="0" applyFill="1" applyBorder="1" applyAlignment="1">
      <alignment horizontal="center" vertical="center" textRotation="90"/>
    </xf>
    <xf numFmtId="0" fontId="0" fillId="3" borderId="34" xfId="0" applyFill="1" applyBorder="1" applyAlignment="1">
      <alignment horizontal="center" vertical="center" textRotation="90"/>
    </xf>
    <xf numFmtId="0" fontId="0" fillId="3" borderId="31" xfId="0" applyFill="1" applyBorder="1" applyAlignment="1">
      <alignment horizontal="center" vertical="center" textRotation="90" wrapText="1"/>
    </xf>
    <xf numFmtId="0" fontId="0" fillId="3" borderId="31" xfId="0" applyFill="1" applyBorder="1" applyAlignment="1">
      <alignment horizontal="center" vertical="center" textRotation="90"/>
    </xf>
    <xf numFmtId="0" fontId="0" fillId="3" borderId="46" xfId="0" applyFill="1" applyBorder="1" applyAlignment="1">
      <alignment horizontal="center" vertical="center" textRotation="90"/>
    </xf>
    <xf numFmtId="0" fontId="0" fillId="8" borderId="14" xfId="0" applyFill="1" applyBorder="1" applyAlignment="1" applyProtection="1">
      <alignment horizontal="left" vertical="top" wrapText="1"/>
      <protection locked="0"/>
    </xf>
    <xf numFmtId="0" fontId="0" fillId="8" borderId="5" xfId="0" applyFill="1" applyBorder="1" applyAlignment="1" applyProtection="1">
      <alignment horizontal="left" vertical="top" wrapText="1"/>
      <protection locked="0"/>
    </xf>
    <xf numFmtId="0" fontId="0" fillId="8" borderId="70" xfId="0" applyFill="1" applyBorder="1" applyAlignment="1" applyProtection="1">
      <alignment horizontal="left" vertical="top" wrapText="1"/>
      <protection locked="0"/>
    </xf>
    <xf numFmtId="0" fontId="0" fillId="8" borderId="26" xfId="0" applyFill="1" applyBorder="1" applyAlignment="1" applyProtection="1">
      <alignment horizontal="left" vertical="top" wrapText="1"/>
      <protection locked="0"/>
    </xf>
    <xf numFmtId="0" fontId="0" fillId="8" borderId="18" xfId="0" applyFill="1" applyBorder="1" applyAlignment="1" applyProtection="1">
      <alignment horizontal="left" vertical="top" wrapText="1"/>
      <protection locked="0"/>
    </xf>
    <xf numFmtId="0" fontId="0" fillId="8" borderId="0" xfId="0" applyFill="1" applyAlignment="1" applyProtection="1">
      <alignment horizontal="left" vertical="top" wrapText="1"/>
      <protection locked="0"/>
    </xf>
    <xf numFmtId="0" fontId="0" fillId="8" borderId="27" xfId="0" applyFill="1" applyBorder="1" applyAlignment="1" applyProtection="1">
      <alignment horizontal="left" vertical="top" wrapText="1"/>
      <protection locked="0"/>
    </xf>
    <xf numFmtId="0" fontId="0" fillId="8" borderId="28" xfId="0" applyFill="1" applyBorder="1" applyAlignment="1" applyProtection="1">
      <alignment horizontal="left" vertical="top" wrapText="1"/>
      <protection locked="0"/>
    </xf>
    <xf numFmtId="0" fontId="0" fillId="8" borderId="38" xfId="0" applyFill="1" applyBorder="1" applyAlignment="1" applyProtection="1">
      <alignment horizontal="left" vertical="top" wrapText="1"/>
      <protection locked="0"/>
    </xf>
    <xf numFmtId="0" fontId="0" fillId="8" borderId="29" xfId="0" applyFill="1" applyBorder="1" applyAlignment="1" applyProtection="1">
      <alignment horizontal="left" vertical="top" wrapText="1"/>
      <protection locked="0"/>
    </xf>
    <xf numFmtId="0" fontId="19" fillId="13" borderId="54" xfId="0" applyFont="1" applyFill="1" applyBorder="1" applyAlignment="1">
      <alignment horizontal="left"/>
    </xf>
    <xf numFmtId="0" fontId="19" fillId="13" borderId="56" xfId="0" applyFont="1" applyFill="1" applyBorder="1" applyAlignment="1">
      <alignment horizontal="left"/>
    </xf>
    <xf numFmtId="0" fontId="0" fillId="7" borderId="38" xfId="0" applyFill="1" applyBorder="1" applyAlignment="1">
      <alignment vertical="center"/>
    </xf>
    <xf numFmtId="0" fontId="5" fillId="5" borderId="2" xfId="0" applyFont="1" applyFill="1" applyBorder="1" applyAlignment="1">
      <alignment horizontal="left" vertical="top" wrapText="1"/>
    </xf>
    <xf numFmtId="0" fontId="5" fillId="5" borderId="3" xfId="0" applyFont="1" applyFill="1" applyBorder="1" applyAlignment="1">
      <alignment horizontal="left" vertical="top" wrapText="1"/>
    </xf>
    <xf numFmtId="0" fontId="5" fillId="5" borderId="4" xfId="0" applyFont="1" applyFill="1" applyBorder="1" applyAlignment="1">
      <alignment horizontal="left" vertical="top" wrapText="1"/>
    </xf>
    <xf numFmtId="0" fontId="0" fillId="10" borderId="2" xfId="0" applyFill="1" applyBorder="1" applyAlignment="1" applyProtection="1">
      <alignment horizontal="left"/>
      <protection locked="0"/>
    </xf>
    <xf numFmtId="0" fontId="0" fillId="10" borderId="3" xfId="0" applyFill="1" applyBorder="1" applyAlignment="1" applyProtection="1">
      <alignment horizontal="left"/>
      <protection locked="0"/>
    </xf>
    <xf numFmtId="0" fontId="0" fillId="10" borderId="4" xfId="0" applyFill="1" applyBorder="1" applyAlignment="1" applyProtection="1">
      <alignment horizontal="left"/>
      <protection locked="0"/>
    </xf>
    <xf numFmtId="0" fontId="19" fillId="5" borderId="2" xfId="0" applyFont="1" applyFill="1" applyBorder="1" applyAlignment="1">
      <alignment horizontal="center"/>
    </xf>
    <xf numFmtId="0" fontId="19" fillId="5" borderId="4" xfId="0" applyFont="1" applyFill="1" applyBorder="1" applyAlignment="1">
      <alignment horizontal="center"/>
    </xf>
    <xf numFmtId="0" fontId="0" fillId="10" borderId="1" xfId="0" applyFill="1" applyBorder="1" applyAlignment="1" applyProtection="1">
      <alignment horizontal="left"/>
      <protection locked="0"/>
    </xf>
    <xf numFmtId="0" fontId="2" fillId="9" borderId="2" xfId="0" applyFont="1" applyFill="1" applyBorder="1" applyAlignment="1">
      <alignment horizontal="left"/>
    </xf>
    <xf numFmtId="0" fontId="2" fillId="9" borderId="3" xfId="0" applyFont="1" applyFill="1" applyBorder="1" applyAlignment="1">
      <alignment horizontal="left"/>
    </xf>
    <xf numFmtId="0" fontId="2" fillId="9" borderId="4" xfId="0" applyFont="1" applyFill="1" applyBorder="1" applyAlignment="1">
      <alignment horizontal="left"/>
    </xf>
    <xf numFmtId="0" fontId="0" fillId="5" borderId="19" xfId="1" applyNumberFormat="1" applyFont="1" applyFill="1" applyBorder="1" applyAlignment="1" applyProtection="1">
      <alignment horizontal="left"/>
    </xf>
    <xf numFmtId="0" fontId="0" fillId="0" borderId="0" xfId="0" applyAlignment="1">
      <alignment horizontal="center" vertical="center" wrapText="1"/>
    </xf>
    <xf numFmtId="0" fontId="0" fillId="8" borderId="2" xfId="0" applyFill="1" applyBorder="1" applyAlignment="1" applyProtection="1">
      <alignment horizontal="left" wrapText="1"/>
      <protection locked="0"/>
    </xf>
    <xf numFmtId="0" fontId="0" fillId="8" borderId="4" xfId="0" applyFill="1" applyBorder="1" applyAlignment="1" applyProtection="1">
      <alignment horizontal="left" wrapText="1"/>
      <protection locked="0"/>
    </xf>
    <xf numFmtId="0" fontId="2" fillId="9" borderId="1" xfId="0" applyFont="1" applyFill="1" applyBorder="1" applyAlignment="1">
      <alignment horizontal="left" wrapText="1"/>
    </xf>
    <xf numFmtId="0" fontId="19" fillId="3" borderId="15" xfId="0" applyFont="1" applyFill="1" applyBorder="1" applyAlignment="1">
      <alignment horizontal="center" vertical="center" textRotation="90"/>
    </xf>
    <xf numFmtId="0" fontId="19" fillId="3" borderId="16" xfId="0" applyFont="1" applyFill="1" applyBorder="1" applyAlignment="1">
      <alignment horizontal="center" vertical="center" textRotation="90"/>
    </xf>
    <xf numFmtId="0" fontId="19" fillId="3" borderId="17" xfId="0" applyFont="1" applyFill="1" applyBorder="1" applyAlignment="1">
      <alignment horizontal="center" vertical="center" textRotation="90"/>
    </xf>
    <xf numFmtId="0" fontId="0" fillId="3" borderId="15" xfId="0" applyFill="1" applyBorder="1" applyAlignment="1">
      <alignment horizontal="center" vertical="center" textRotation="90"/>
    </xf>
    <xf numFmtId="0" fontId="0" fillId="3" borderId="16" xfId="0" applyFill="1" applyBorder="1" applyAlignment="1">
      <alignment horizontal="center" vertical="center" textRotation="90"/>
    </xf>
    <xf numFmtId="0" fontId="0" fillId="3" borderId="17" xfId="0" applyFill="1" applyBorder="1" applyAlignment="1">
      <alignment horizontal="center" vertical="center" textRotation="90"/>
    </xf>
    <xf numFmtId="0" fontId="0" fillId="8" borderId="1" xfId="0" applyFill="1" applyBorder="1" applyAlignment="1" applyProtection="1">
      <alignment horizontal="left" vertical="top" wrapText="1"/>
      <protection locked="0"/>
    </xf>
    <xf numFmtId="0" fontId="0" fillId="5" borderId="1" xfId="0" applyFill="1" applyBorder="1" applyAlignment="1">
      <alignment horizontal="left" vertical="top" wrapText="1"/>
    </xf>
    <xf numFmtId="0" fontId="5" fillId="7" borderId="0" xfId="0" applyFont="1" applyFill="1" applyAlignment="1">
      <alignment horizontal="left" vertical="top" wrapText="1" indent="2"/>
    </xf>
    <xf numFmtId="0" fontId="5" fillId="7" borderId="0" xfId="0" applyFont="1" applyFill="1" applyAlignment="1">
      <alignment horizontal="left" vertical="top" wrapText="1"/>
    </xf>
    <xf numFmtId="0" fontId="4" fillId="7" borderId="70" xfId="0" applyFont="1" applyFill="1" applyBorder="1" applyAlignment="1">
      <alignment horizontal="left" vertical="top" wrapText="1"/>
    </xf>
    <xf numFmtId="0" fontId="0" fillId="7" borderId="0" xfId="0" applyFill="1" applyAlignment="1" applyProtection="1">
      <alignment horizontal="left"/>
      <protection locked="0"/>
    </xf>
    <xf numFmtId="0" fontId="3" fillId="5" borderId="1" xfId="0" applyFont="1" applyFill="1" applyBorder="1" applyAlignment="1">
      <alignment horizontal="left" vertical="top" wrapText="1"/>
    </xf>
    <xf numFmtId="0" fontId="4" fillId="7" borderId="0" xfId="0" applyFont="1" applyFill="1" applyAlignment="1">
      <alignment horizontal="left" vertical="top" wrapText="1" indent="6"/>
    </xf>
    <xf numFmtId="0" fontId="5" fillId="8" borderId="1" xfId="0" applyFont="1" applyFill="1" applyBorder="1" applyAlignment="1" applyProtection="1">
      <alignment horizontal="left" vertical="top" wrapText="1"/>
      <protection locked="0"/>
    </xf>
    <xf numFmtId="0" fontId="0" fillId="18" borderId="2" xfId="0" applyFill="1" applyBorder="1" applyAlignment="1">
      <alignment horizontal="left"/>
    </xf>
    <xf numFmtId="0" fontId="0" fillId="18" borderId="3" xfId="0" applyFill="1" applyBorder="1" applyAlignment="1">
      <alignment horizontal="left"/>
    </xf>
    <xf numFmtId="0" fontId="0" fillId="18" borderId="2" xfId="0" applyFill="1" applyBorder="1" applyAlignment="1">
      <alignment horizontal="left" vertical="center"/>
    </xf>
    <xf numFmtId="0" fontId="0" fillId="18" borderId="3" xfId="0" applyFill="1" applyBorder="1" applyAlignment="1">
      <alignment horizontal="left" vertical="center"/>
    </xf>
    <xf numFmtId="0" fontId="2" fillId="0" borderId="0" xfId="0" applyFont="1" applyAlignment="1">
      <alignment horizontal="center"/>
    </xf>
    <xf numFmtId="0" fontId="0" fillId="8" borderId="3" xfId="0" applyFill="1" applyBorder="1" applyAlignment="1" applyProtection="1">
      <alignment horizontal="left"/>
      <protection locked="0"/>
    </xf>
    <xf numFmtId="0" fontId="0" fillId="18" borderId="2" xfId="0" applyFill="1" applyBorder="1" applyAlignment="1">
      <alignment horizontal="left" vertical="top" wrapText="1"/>
    </xf>
    <xf numFmtId="0" fontId="0" fillId="18" borderId="3" xfId="0" applyFill="1" applyBorder="1" applyAlignment="1">
      <alignment horizontal="left" vertical="top" wrapText="1"/>
    </xf>
    <xf numFmtId="0" fontId="0" fillId="18" borderId="4" xfId="0" applyFill="1" applyBorder="1" applyAlignment="1">
      <alignment horizontal="left" vertical="top" wrapText="1"/>
    </xf>
    <xf numFmtId="0" fontId="16" fillId="7" borderId="0" xfId="3" applyFont="1" applyFill="1" applyBorder="1" applyAlignment="1" applyProtection="1">
      <alignment horizontal="center" vertical="center"/>
    </xf>
    <xf numFmtId="0" fontId="4" fillId="7" borderId="18" xfId="0" applyFont="1" applyFill="1" applyBorder="1" applyAlignment="1">
      <alignment horizontal="left" wrapText="1"/>
    </xf>
    <xf numFmtId="0" fontId="8" fillId="7" borderId="0" xfId="0" applyFont="1" applyFill="1" applyAlignment="1">
      <alignment vertical="center"/>
    </xf>
    <xf numFmtId="0" fontId="0" fillId="21" borderId="14" xfId="0" applyFill="1" applyBorder="1" applyAlignment="1">
      <alignment vertical="center"/>
    </xf>
    <xf numFmtId="0" fontId="0" fillId="21" borderId="26" xfId="0" applyFill="1" applyBorder="1" applyAlignment="1">
      <alignment vertical="center"/>
    </xf>
    <xf numFmtId="0" fontId="0" fillId="21" borderId="18" xfId="0" applyFill="1" applyBorder="1" applyAlignment="1">
      <alignment vertical="center"/>
    </xf>
    <xf numFmtId="0" fontId="0" fillId="21" borderId="27" xfId="0" applyFill="1" applyBorder="1" applyAlignment="1">
      <alignment vertical="center"/>
    </xf>
    <xf numFmtId="0" fontId="0" fillId="21" borderId="28" xfId="0" applyFill="1" applyBorder="1" applyAlignment="1">
      <alignment vertical="center"/>
    </xf>
    <xf numFmtId="0" fontId="0" fillId="21" borderId="29" xfId="0" applyFill="1" applyBorder="1" applyAlignment="1">
      <alignment vertical="center"/>
    </xf>
    <xf numFmtId="0" fontId="0" fillId="5" borderId="14" xfId="0" applyFill="1" applyBorder="1" applyAlignment="1">
      <alignment vertical="center"/>
    </xf>
    <xf numFmtId="0" fontId="0" fillId="5" borderId="26" xfId="0" applyFill="1" applyBorder="1" applyAlignment="1">
      <alignment vertical="center"/>
    </xf>
    <xf numFmtId="0" fontId="0" fillId="5" borderId="28" xfId="0" applyFill="1" applyBorder="1" applyAlignment="1">
      <alignment vertical="center"/>
    </xf>
    <xf numFmtId="0" fontId="0" fillId="5" borderId="29" xfId="0" applyFill="1" applyBorder="1" applyAlignment="1">
      <alignment vertical="center"/>
    </xf>
    <xf numFmtId="9" fontId="0" fillId="5" borderId="2" xfId="1" applyNumberFormat="1" applyFont="1" applyFill="1" applyBorder="1" applyAlignment="1" applyProtection="1">
      <alignment horizontal="left" vertical="top"/>
    </xf>
    <xf numFmtId="9" fontId="0" fillId="5" borderId="3" xfId="1" applyNumberFormat="1" applyFont="1" applyFill="1" applyBorder="1" applyAlignment="1" applyProtection="1">
      <alignment horizontal="left" vertical="top"/>
    </xf>
    <xf numFmtId="9" fontId="0" fillId="5" borderId="4" xfId="1" applyNumberFormat="1" applyFont="1" applyFill="1" applyBorder="1" applyAlignment="1" applyProtection="1">
      <alignment horizontal="left" vertical="top"/>
    </xf>
    <xf numFmtId="0" fontId="0" fillId="3" borderId="40" xfId="0" applyFill="1" applyBorder="1" applyAlignment="1">
      <alignment horizontal="center" vertical="center" textRotation="90"/>
    </xf>
    <xf numFmtId="0" fontId="0" fillId="3" borderId="41" xfId="0" applyFill="1" applyBorder="1" applyAlignment="1">
      <alignment horizontal="center" vertical="center" textRotation="90"/>
    </xf>
    <xf numFmtId="0" fontId="0" fillId="3" borderId="42" xfId="0" applyFill="1" applyBorder="1" applyAlignment="1">
      <alignment horizontal="center" vertical="center" textRotation="90"/>
    </xf>
    <xf numFmtId="0" fontId="0" fillId="17" borderId="2" xfId="0" applyFill="1" applyBorder="1" applyAlignment="1" applyProtection="1">
      <alignment horizontal="left" vertical="top" wrapText="1"/>
      <protection locked="0"/>
    </xf>
    <xf numFmtId="0" fontId="0" fillId="17" borderId="3" xfId="0" applyFill="1" applyBorder="1" applyAlignment="1" applyProtection="1">
      <alignment horizontal="left" vertical="top" wrapText="1"/>
      <protection locked="0"/>
    </xf>
    <xf numFmtId="0" fontId="0" fillId="17" borderId="4" xfId="0" applyFill="1" applyBorder="1" applyAlignment="1" applyProtection="1">
      <alignment horizontal="left" vertical="top" wrapText="1"/>
      <protection locked="0"/>
    </xf>
    <xf numFmtId="0" fontId="26" fillId="7" borderId="0" xfId="0" applyFont="1" applyFill="1" applyAlignment="1" applyProtection="1">
      <alignment horizontal="left" vertical="top" wrapText="1"/>
      <protection locked="0"/>
    </xf>
    <xf numFmtId="0" fontId="0" fillId="18" borderId="0" xfId="0" applyFill="1" applyAlignment="1" applyProtection="1">
      <alignment horizontal="left" vertical="top" wrapText="1"/>
      <protection locked="0"/>
    </xf>
    <xf numFmtId="0" fontId="3" fillId="8" borderId="1" xfId="0" applyFont="1" applyFill="1" applyBorder="1" applyAlignment="1" applyProtection="1">
      <alignment horizontal="left" vertical="top" wrapText="1"/>
      <protection locked="0"/>
    </xf>
    <xf numFmtId="0" fontId="20" fillId="7" borderId="70" xfId="0" quotePrefix="1" applyFont="1" applyFill="1" applyBorder="1" applyAlignment="1">
      <alignment horizontal="left" vertical="top" wrapText="1"/>
    </xf>
    <xf numFmtId="0" fontId="26" fillId="37" borderId="94" xfId="0" applyFont="1" applyFill="1" applyBorder="1" applyAlignment="1">
      <alignment horizontal="center" vertical="center"/>
    </xf>
    <xf numFmtId="0" fontId="0" fillId="7" borderId="96" xfId="0" applyFill="1" applyBorder="1" applyAlignment="1">
      <alignment horizontal="left" vertical="center"/>
    </xf>
    <xf numFmtId="0" fontId="0" fillId="7" borderId="96" xfId="0" applyFill="1" applyBorder="1"/>
    <xf numFmtId="0" fontId="78" fillId="7" borderId="0" xfId="3" applyFont="1" applyFill="1" applyAlignment="1">
      <alignment horizontal="left" vertical="center"/>
    </xf>
    <xf numFmtId="0" fontId="71" fillId="29" borderId="77" xfId="11" applyFont="1" applyFill="1" applyBorder="1" applyAlignment="1">
      <alignment horizontal="right"/>
    </xf>
    <xf numFmtId="0" fontId="40" fillId="0" borderId="0" xfId="11" applyFont="1"/>
    <xf numFmtId="0" fontId="73" fillId="29" borderId="77" xfId="11" applyFont="1" applyFill="1" applyBorder="1" applyAlignment="1">
      <alignment horizontal="right"/>
    </xf>
    <xf numFmtId="0" fontId="73" fillId="29" borderId="0" xfId="11" applyFont="1" applyFill="1" applyAlignment="1">
      <alignment horizontal="right"/>
    </xf>
    <xf numFmtId="0" fontId="71" fillId="29" borderId="78" xfId="11" applyFont="1" applyFill="1" applyBorder="1" applyAlignment="1">
      <alignment horizontal="right"/>
    </xf>
    <xf numFmtId="0" fontId="40" fillId="0" borderId="79" xfId="11" applyFont="1" applyBorder="1"/>
    <xf numFmtId="0" fontId="42" fillId="0" borderId="6" xfId="11" applyFont="1" applyBorder="1" applyAlignment="1">
      <alignment horizontal="center" vertical="center"/>
    </xf>
    <xf numFmtId="0" fontId="42" fillId="0" borderId="7" xfId="11" applyFont="1" applyBorder="1" applyAlignment="1">
      <alignment horizontal="center" vertical="center"/>
    </xf>
    <xf numFmtId="0" fontId="42" fillId="0" borderId="8" xfId="11" applyFont="1" applyBorder="1" applyAlignment="1">
      <alignment horizontal="center" vertical="center"/>
    </xf>
    <xf numFmtId="0" fontId="42" fillId="0" borderId="11" xfId="11" applyFont="1" applyBorder="1" applyAlignment="1">
      <alignment horizontal="center" vertical="center"/>
    </xf>
    <xf numFmtId="0" fontId="42" fillId="0" borderId="12" xfId="11" applyFont="1" applyBorder="1" applyAlignment="1">
      <alignment horizontal="center" vertical="center"/>
    </xf>
    <xf numFmtId="0" fontId="42" fillId="0" borderId="13" xfId="11" applyFont="1" applyBorder="1" applyAlignment="1">
      <alignment horizontal="center" vertical="center"/>
    </xf>
    <xf numFmtId="0" fontId="71" fillId="0" borderId="75" xfId="11" applyFont="1" applyBorder="1" applyAlignment="1">
      <alignment horizontal="center" vertical="center" wrapText="1"/>
    </xf>
    <xf numFmtId="0" fontId="71" fillId="0" borderId="76" xfId="11" applyFont="1" applyBorder="1" applyAlignment="1">
      <alignment horizontal="center" vertical="center" wrapText="1"/>
    </xf>
    <xf numFmtId="0" fontId="71" fillId="0" borderId="82" xfId="11" applyFont="1" applyBorder="1" applyAlignment="1">
      <alignment horizontal="center" vertical="center" wrapText="1"/>
    </xf>
    <xf numFmtId="0" fontId="71" fillId="7" borderId="20" xfId="11" applyFont="1" applyFill="1" applyBorder="1" applyAlignment="1">
      <alignment horizontal="center"/>
    </xf>
    <xf numFmtId="0" fontId="71" fillId="7" borderId="21" xfId="11" applyFont="1" applyFill="1" applyBorder="1" applyAlignment="1">
      <alignment horizontal="center"/>
    </xf>
    <xf numFmtId="0" fontId="71" fillId="7" borderId="80" xfId="11" applyFont="1" applyFill="1" applyBorder="1" applyAlignment="1">
      <alignment horizontal="right"/>
    </xf>
    <xf numFmtId="0" fontId="71" fillId="7" borderId="81" xfId="11" applyFont="1" applyFill="1" applyBorder="1" applyAlignment="1">
      <alignment horizontal="right"/>
    </xf>
    <xf numFmtId="0" fontId="71" fillId="29" borderId="9" xfId="11" applyFont="1" applyFill="1" applyBorder="1" applyAlignment="1">
      <alignment horizontal="right"/>
    </xf>
  </cellXfs>
  <cellStyles count="17">
    <cellStyle name="Comma" xfId="4" builtinId="3"/>
    <cellStyle name="Comma 2" xfId="9" xr:uid="{00000000-0005-0000-0000-000001000000}"/>
    <cellStyle name="Currency" xfId="1" builtinId="4"/>
    <cellStyle name="Currency [0]" xfId="6" builtinId="7"/>
    <cellStyle name="Currency 2" xfId="10" xr:uid="{00000000-0005-0000-0000-000004000000}"/>
    <cellStyle name="Hyperlink" xfId="3" builtinId="8"/>
    <cellStyle name="Normal" xfId="0" builtinId="0"/>
    <cellStyle name="Normal 15" xfId="8" xr:uid="{00000000-0005-0000-0000-000007000000}"/>
    <cellStyle name="Normal 2" xfId="11" xr:uid="{00000000-0005-0000-0000-000008000000}"/>
    <cellStyle name="Normal 3" xfId="12" xr:uid="{00000000-0005-0000-0000-000009000000}"/>
    <cellStyle name="Normal 3 2" xfId="5" xr:uid="{00000000-0005-0000-0000-00000A000000}"/>
    <cellStyle name="Normal_Initial Financial Evaluation 2011" xfId="7" xr:uid="{00000000-0005-0000-0000-00000B000000}"/>
    <cellStyle name="Normal_MLP Am Worksheet" xfId="13" xr:uid="{00000000-0005-0000-0000-00000C000000}"/>
    <cellStyle name="Normal_Sheet2" xfId="14" xr:uid="{00000000-0005-0000-0000-00000D000000}"/>
    <cellStyle name="Percent" xfId="2" builtinId="5"/>
    <cellStyle name="Percent 2" xfId="15" xr:uid="{00000000-0005-0000-0000-00000F000000}"/>
    <cellStyle name="Percent 3" xfId="16" xr:uid="{00000000-0005-0000-0000-000010000000}"/>
  </cellStyles>
  <dxfs count="64">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9.9948118533890809E-2"/>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9.9948118533890809E-2"/>
        </patternFill>
      </fill>
      <border>
        <left style="thin">
          <color auto="1"/>
        </left>
        <right style="thin">
          <color auto="1"/>
        </right>
        <top style="thin">
          <color auto="1"/>
        </top>
        <bottom style="thin">
          <color auto="1"/>
        </bottom>
        <vertical/>
        <horizontal/>
      </border>
    </dxf>
    <dxf>
      <fill>
        <patternFill>
          <bgColor theme="9" tint="-9.9948118533890809E-2"/>
        </patternFill>
      </fill>
      <border>
        <left style="thin">
          <color auto="1"/>
        </left>
        <right style="thin">
          <color auto="1"/>
        </right>
        <top style="thin">
          <color auto="1"/>
        </top>
        <bottom style="thin">
          <color auto="1"/>
        </bottom>
        <vertical/>
        <horizontal/>
      </border>
    </dxf>
    <dxf>
      <font>
        <b/>
        <i val="0"/>
        <color theme="0"/>
      </font>
      <fill>
        <patternFill>
          <bgColor rgb="FFC00000"/>
        </patternFill>
      </fill>
    </dxf>
    <dxf>
      <font>
        <color rgb="FF9C6500"/>
      </font>
      <fill>
        <patternFill>
          <bgColor rgb="FFFFEB9C"/>
        </patternFill>
      </fill>
    </dxf>
    <dxf>
      <font>
        <color rgb="FF9C0006"/>
      </font>
      <fill>
        <patternFill>
          <bgColor rgb="FFFFC7CE"/>
        </patternFill>
      </fill>
    </dxf>
    <dxf>
      <font>
        <b/>
        <i val="0"/>
        <strike val="0"/>
        <color rgb="FFFF0000"/>
      </font>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border>
    </dxf>
    <dxf>
      <fill>
        <patternFill>
          <bgColor theme="9" tint="-9.9948118533890809E-2"/>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patternType="solid">
          <fgColor auto="1"/>
          <bgColor theme="1" tint="0.34998626667073579"/>
        </patternFill>
      </fill>
    </dxf>
    <dxf>
      <fill>
        <patternFill>
          <bgColor theme="9" tint="-9.9948118533890809E-2"/>
        </patternFill>
      </fill>
      <border>
        <left style="thin">
          <color auto="1"/>
        </left>
        <right style="thin">
          <color auto="1"/>
        </right>
        <top style="thin">
          <color auto="1"/>
        </top>
        <bottom style="thin">
          <color auto="1"/>
        </bottom>
        <vertical/>
        <horizontal/>
      </border>
    </dxf>
    <dxf>
      <fill>
        <patternFill>
          <bgColor theme="1" tint="0.34998626667073579"/>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1" tint="0.34998626667073579"/>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1" tint="0.34998626667073579"/>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1" tint="0.34998626667073579"/>
        </patternFill>
      </fill>
    </dxf>
    <dxf>
      <fill>
        <patternFill>
          <bgColor theme="9" tint="-9.9948118533890809E-2"/>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ont>
        <b val="0"/>
        <i val="0"/>
        <color auto="1"/>
      </font>
      <fill>
        <patternFill>
          <bgColor theme="7" tint="-0.24994659260841701"/>
        </patternFill>
      </fill>
      <border>
        <left style="thin">
          <color auto="1"/>
        </left>
        <right style="thin">
          <color auto="1"/>
        </right>
        <top style="thin">
          <color auto="1"/>
        </top>
        <bottom style="thin">
          <color auto="1"/>
        </bottom>
        <vertical/>
        <horizontal/>
      </border>
    </dxf>
    <dxf>
      <font>
        <b val="0"/>
        <i val="0"/>
        <color auto="1"/>
      </font>
      <fill>
        <patternFill>
          <bgColor theme="7" tint="-0.24994659260841701"/>
        </patternFill>
      </fill>
      <border>
        <left style="thin">
          <color auto="1"/>
        </left>
        <right style="thin">
          <color auto="1"/>
        </right>
        <top style="thin">
          <color auto="1"/>
        </top>
        <bottom style="thin">
          <color auto="1"/>
        </bottom>
        <vertical/>
        <horizontal/>
      </border>
    </dxf>
    <dxf>
      <fill>
        <patternFill>
          <bgColor theme="0"/>
        </patternFill>
      </fill>
      <border>
        <left/>
        <right/>
        <top/>
        <bottom/>
        <vertical/>
        <horizontal/>
      </border>
    </dxf>
    <dxf>
      <fill>
        <patternFill patternType="solid">
          <bgColor theme="0"/>
        </patternFill>
      </fill>
      <border>
        <left/>
        <right/>
        <top/>
        <bottom/>
        <vertical/>
        <horizontal/>
      </border>
    </dxf>
    <dxf>
      <font>
        <b/>
        <i val="0"/>
        <color rgb="FFFF0000"/>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CF1F1"/>
      <color rgb="FFEAEAEA"/>
      <color rgb="FF6B6B6B"/>
      <color rgb="FFEAF6F6"/>
      <color rgb="FFC1C1C1"/>
      <color rgb="FF56AA80"/>
      <color rgb="FFCFE7DB"/>
      <color rgb="FFEFF9FF"/>
      <color rgb="FF005186"/>
      <color rgb="FFF7F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1345031</xdr:colOff>
      <xdr:row>0</xdr:row>
      <xdr:rowOff>662841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2517866" cy="662841"/>
        </a:xfrm>
        <a:prstGeom prst="rect">
          <a:avLst/>
        </a:prstGeom>
      </xdr:spPr>
    </xdr:pic>
    <xdr:clientData/>
  </xdr:twoCellAnchor>
  <xdr:twoCellAnchor editAs="oneCell">
    <xdr:from>
      <xdr:col>12</xdr:col>
      <xdr:colOff>79140</xdr:colOff>
      <xdr:row>15</xdr:row>
      <xdr:rowOff>0</xdr:rowOff>
    </xdr:from>
    <xdr:to>
      <xdr:col>12</xdr:col>
      <xdr:colOff>2154987</xdr:colOff>
      <xdr:row>27</xdr:row>
      <xdr:rowOff>68715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13660669" y="3526351"/>
          <a:ext cx="2075847" cy="2556421"/>
        </a:xfrm>
        <a:prstGeom prst="rect">
          <a:avLst/>
        </a:prstGeom>
        <a:ln>
          <a:solidFill>
            <a:schemeClr val="accent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1546737</xdr:colOff>
      <xdr:row>0</xdr:row>
      <xdr:rowOff>662841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2488031" cy="6628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95154</xdr:colOff>
      <xdr:row>0</xdr:row>
      <xdr:rowOff>662841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2499937" cy="6628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1789484</xdr:colOff>
      <xdr:row>0</xdr:row>
      <xdr:rowOff>662841</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0" y="0"/>
          <a:ext cx="2517866" cy="6628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359094</xdr:colOff>
      <xdr:row>0</xdr:row>
      <xdr:rowOff>662841</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0" y="0"/>
          <a:ext cx="2499937" cy="66284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1816378</xdr:colOff>
      <xdr:row>0</xdr:row>
      <xdr:rowOff>662841</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2506660" cy="6628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1816378</xdr:colOff>
      <xdr:row>0</xdr:row>
      <xdr:rowOff>662841</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2517866" cy="66284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1789484</xdr:colOff>
      <xdr:row>0</xdr:row>
      <xdr:rowOff>662841</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0" y="0"/>
          <a:ext cx="2517866" cy="66284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1915961</xdr:colOff>
      <xdr:row>0</xdr:row>
      <xdr:rowOff>661571</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2499937" cy="66284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1816378</xdr:colOff>
      <xdr:row>0</xdr:row>
      <xdr:rowOff>662841</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0" y="0"/>
          <a:ext cx="2499937" cy="66284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449261</xdr:colOff>
      <xdr:row>0</xdr:row>
      <xdr:rowOff>662841</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2506661" cy="66284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793111</xdr:colOff>
      <xdr:row>0</xdr:row>
      <xdr:rowOff>660301</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2517866" cy="662841"/>
        </a:xfrm>
        <a:prstGeom prst="rect">
          <a:avLst/>
        </a:prstGeom>
      </xdr:spPr>
    </xdr:pic>
    <xdr:clientData/>
  </xdr:twoCellAnchor>
  <xdr:twoCellAnchor>
    <xdr:from>
      <xdr:col>15</xdr:col>
      <xdr:colOff>224118</xdr:colOff>
      <xdr:row>4</xdr:row>
      <xdr:rowOff>168088</xdr:rowOff>
    </xdr:from>
    <xdr:to>
      <xdr:col>22</xdr:col>
      <xdr:colOff>268941</xdr:colOff>
      <xdr:row>6</xdr:row>
      <xdr:rowOff>560294</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6898471" y="1546412"/>
          <a:ext cx="508747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Notice: This page is posted directly to the OHFA website.</a:t>
          </a:r>
          <a:r>
            <a:rPr lang="en-US" sz="1100" baseline="0"/>
            <a:t> It is released on a regular basis to elected government officials. Please ensure that it is complete and an accurate description of your proposed project.</a:t>
          </a: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1928437</xdr:colOff>
      <xdr:row>0</xdr:row>
      <xdr:rowOff>662841</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0" y="0"/>
          <a:ext cx="2517866" cy="66284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1883613</xdr:colOff>
      <xdr:row>0</xdr:row>
      <xdr:rowOff>662841</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0" y="0"/>
          <a:ext cx="2499937" cy="66284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41</xdr:row>
          <xdr:rowOff>7620</xdr:rowOff>
        </xdr:from>
        <xdr:to>
          <xdr:col>1</xdr:col>
          <xdr:colOff>845820</xdr:colOff>
          <xdr:row>41</xdr:row>
          <xdr:rowOff>220980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E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41</xdr:row>
          <xdr:rowOff>22860</xdr:rowOff>
        </xdr:from>
        <xdr:to>
          <xdr:col>1</xdr:col>
          <xdr:colOff>1303020</xdr:colOff>
          <xdr:row>41</xdr:row>
          <xdr:rowOff>228600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E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50</xdr:row>
          <xdr:rowOff>182880</xdr:rowOff>
        </xdr:from>
        <xdr:to>
          <xdr:col>1</xdr:col>
          <xdr:colOff>838200</xdr:colOff>
          <xdr:row>50</xdr:row>
          <xdr:rowOff>388620</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0E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525780</xdr:colOff>
          <xdr:row>50</xdr:row>
          <xdr:rowOff>175260</xdr:rowOff>
        </xdr:from>
        <xdr:to>
          <xdr:col>1</xdr:col>
          <xdr:colOff>1333500</xdr:colOff>
          <xdr:row>50</xdr:row>
          <xdr:rowOff>381000</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0E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58</xdr:row>
          <xdr:rowOff>152400</xdr:rowOff>
        </xdr:from>
        <xdr:to>
          <xdr:col>1</xdr:col>
          <xdr:colOff>838200</xdr:colOff>
          <xdr:row>59</xdr:row>
          <xdr:rowOff>182880</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0E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487680</xdr:colOff>
          <xdr:row>58</xdr:row>
          <xdr:rowOff>152400</xdr:rowOff>
        </xdr:from>
        <xdr:to>
          <xdr:col>1</xdr:col>
          <xdr:colOff>1287780</xdr:colOff>
          <xdr:row>59</xdr:row>
          <xdr:rowOff>182880</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E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67</xdr:row>
          <xdr:rowOff>152400</xdr:rowOff>
        </xdr:from>
        <xdr:to>
          <xdr:col>1</xdr:col>
          <xdr:colOff>868680</xdr:colOff>
          <xdr:row>69</xdr:row>
          <xdr:rowOff>0</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0E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556260</xdr:colOff>
          <xdr:row>67</xdr:row>
          <xdr:rowOff>152400</xdr:rowOff>
        </xdr:from>
        <xdr:to>
          <xdr:col>1</xdr:col>
          <xdr:colOff>1356360</xdr:colOff>
          <xdr:row>69</xdr:row>
          <xdr:rowOff>0</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0E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78</xdr:row>
          <xdr:rowOff>7620</xdr:rowOff>
        </xdr:from>
        <xdr:to>
          <xdr:col>2</xdr:col>
          <xdr:colOff>1127760</xdr:colOff>
          <xdr:row>79</xdr:row>
          <xdr:rowOff>30480</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0E00-00000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Housing Credit Certified Professional (HCCP)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79</xdr:row>
          <xdr:rowOff>7620</xdr:rowOff>
        </xdr:from>
        <xdr:to>
          <xdr:col>2</xdr:col>
          <xdr:colOff>1127760</xdr:colOff>
          <xdr:row>80</xdr:row>
          <xdr:rowOff>30480</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id="{00000000-0008-0000-0E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Certified Credit Compliance Professional (C3P)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80</xdr:row>
          <xdr:rowOff>7620</xdr:rowOff>
        </xdr:from>
        <xdr:to>
          <xdr:col>2</xdr:col>
          <xdr:colOff>1127760</xdr:colOff>
          <xdr:row>81</xdr:row>
          <xdr:rowOff>22860</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0E00-00000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Tax Credit Compliance System (TaCCS)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80</xdr:row>
          <xdr:rowOff>182880</xdr:rowOff>
        </xdr:from>
        <xdr:to>
          <xdr:col>2</xdr:col>
          <xdr:colOff>1127760</xdr:colOff>
          <xdr:row>82</xdr:row>
          <xdr:rowOff>22860</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0E00-00000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National Compliance Professional (NCP)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81</xdr:row>
          <xdr:rowOff>175260</xdr:rowOff>
        </xdr:from>
        <xdr:to>
          <xdr:col>2</xdr:col>
          <xdr:colOff>1127760</xdr:colOff>
          <xdr:row>83</xdr:row>
          <xdr:rowOff>7620</xdr:rowOff>
        </xdr:to>
        <xdr:sp macro="" textlink="">
          <xdr:nvSpPr>
            <xdr:cNvPr id="46093" name="Check Box 13" hidden="1">
              <a:extLst>
                <a:ext uri="{63B3BB69-23CF-44E3-9099-C40C66FF867C}">
                  <a14:compatExt spid="_x0000_s46093"/>
                </a:ext>
                <a:ext uri="{FF2B5EF4-FFF2-40B4-BE49-F238E27FC236}">
                  <a16:creationId xmlns:a16="http://schemas.microsoft.com/office/drawing/2014/main" id="{00000000-0008-0000-0E00-00000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Tax Credit Specialist (TCS) and (eTCS)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82</xdr:row>
          <xdr:rowOff>152400</xdr:rowOff>
        </xdr:from>
        <xdr:to>
          <xdr:col>2</xdr:col>
          <xdr:colOff>1127760</xdr:colOff>
          <xdr:row>84</xdr:row>
          <xdr:rowOff>7620</xdr:rowOff>
        </xdr:to>
        <xdr:sp macro="" textlink="">
          <xdr:nvSpPr>
            <xdr:cNvPr id="46094" name="Check Box 14" descr="Specialist in Housing Credit Management (SHCM)" hidden="1">
              <a:extLst>
                <a:ext uri="{63B3BB69-23CF-44E3-9099-C40C66FF867C}">
                  <a14:compatExt spid="_x0000_s46094"/>
                </a:ext>
                <a:ext uri="{FF2B5EF4-FFF2-40B4-BE49-F238E27FC236}">
                  <a16:creationId xmlns:a16="http://schemas.microsoft.com/office/drawing/2014/main" id="{00000000-0008-0000-0E00-00000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Specialist in Housing Credit Management (SHCM)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83</xdr:row>
          <xdr:rowOff>152400</xdr:rowOff>
        </xdr:from>
        <xdr:to>
          <xdr:col>2</xdr:col>
          <xdr:colOff>1127760</xdr:colOff>
          <xdr:row>85</xdr:row>
          <xdr:rowOff>22860</xdr:rowOff>
        </xdr:to>
        <xdr:sp macro="" textlink="">
          <xdr:nvSpPr>
            <xdr:cNvPr id="46095" name="Check Box 15" hidden="1">
              <a:extLst>
                <a:ext uri="{63B3BB69-23CF-44E3-9099-C40C66FF867C}">
                  <a14:compatExt spid="_x0000_s46095"/>
                </a:ext>
                <a:ext uri="{FF2B5EF4-FFF2-40B4-BE49-F238E27FC236}">
                  <a16:creationId xmlns:a16="http://schemas.microsoft.com/office/drawing/2014/main" id="{00000000-0008-0000-0E00-00000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None of the above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88</xdr:row>
          <xdr:rowOff>152400</xdr:rowOff>
        </xdr:from>
        <xdr:to>
          <xdr:col>1</xdr:col>
          <xdr:colOff>868680</xdr:colOff>
          <xdr:row>90</xdr:row>
          <xdr:rowOff>0</xdr:rowOff>
        </xdr:to>
        <xdr:sp macro="" textlink="">
          <xdr:nvSpPr>
            <xdr:cNvPr id="46096" name="Check Box 16" hidden="1">
              <a:extLst>
                <a:ext uri="{63B3BB69-23CF-44E3-9099-C40C66FF867C}">
                  <a14:compatExt spid="_x0000_s46096"/>
                </a:ext>
                <a:ext uri="{FF2B5EF4-FFF2-40B4-BE49-F238E27FC236}">
                  <a16:creationId xmlns:a16="http://schemas.microsoft.com/office/drawing/2014/main" id="{00000000-0008-0000-0E00-00001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487680</xdr:colOff>
          <xdr:row>88</xdr:row>
          <xdr:rowOff>152400</xdr:rowOff>
        </xdr:from>
        <xdr:to>
          <xdr:col>1</xdr:col>
          <xdr:colOff>1287780</xdr:colOff>
          <xdr:row>90</xdr:row>
          <xdr:rowOff>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E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105</xdr:row>
          <xdr:rowOff>160020</xdr:rowOff>
        </xdr:from>
        <xdr:to>
          <xdr:col>1</xdr:col>
          <xdr:colOff>822960</xdr:colOff>
          <xdr:row>107</xdr:row>
          <xdr:rowOff>7620</xdr:rowOff>
        </xdr:to>
        <xdr:sp macro="" textlink="">
          <xdr:nvSpPr>
            <xdr:cNvPr id="46098" name="Check Box 18" hidden="1">
              <a:extLst>
                <a:ext uri="{63B3BB69-23CF-44E3-9099-C40C66FF867C}">
                  <a14:compatExt spid="_x0000_s46098"/>
                </a:ext>
                <a:ext uri="{FF2B5EF4-FFF2-40B4-BE49-F238E27FC236}">
                  <a16:creationId xmlns:a16="http://schemas.microsoft.com/office/drawing/2014/main" id="{00000000-0008-0000-0E00-00001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105</xdr:row>
          <xdr:rowOff>160020</xdr:rowOff>
        </xdr:from>
        <xdr:to>
          <xdr:col>1</xdr:col>
          <xdr:colOff>1341120</xdr:colOff>
          <xdr:row>107</xdr:row>
          <xdr:rowOff>7620</xdr:rowOff>
        </xdr:to>
        <xdr:sp macro="" textlink="">
          <xdr:nvSpPr>
            <xdr:cNvPr id="46099" name="Check Box 19" hidden="1">
              <a:extLst>
                <a:ext uri="{63B3BB69-23CF-44E3-9099-C40C66FF867C}">
                  <a14:compatExt spid="_x0000_s46099"/>
                </a:ext>
                <a:ext uri="{FF2B5EF4-FFF2-40B4-BE49-F238E27FC236}">
                  <a16:creationId xmlns:a16="http://schemas.microsoft.com/office/drawing/2014/main" id="{00000000-0008-0000-0E00-00001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108</xdr:row>
          <xdr:rowOff>175260</xdr:rowOff>
        </xdr:from>
        <xdr:to>
          <xdr:col>1</xdr:col>
          <xdr:colOff>845820</xdr:colOff>
          <xdr:row>110</xdr:row>
          <xdr:rowOff>22860</xdr:rowOff>
        </xdr:to>
        <xdr:sp macro="" textlink="">
          <xdr:nvSpPr>
            <xdr:cNvPr id="46100" name="Check Box 20" hidden="1">
              <a:extLst>
                <a:ext uri="{63B3BB69-23CF-44E3-9099-C40C66FF867C}">
                  <a14:compatExt spid="_x0000_s46100"/>
                </a:ext>
                <a:ext uri="{FF2B5EF4-FFF2-40B4-BE49-F238E27FC236}">
                  <a16:creationId xmlns:a16="http://schemas.microsoft.com/office/drawing/2014/main" id="{00000000-0008-0000-0E00-00001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108</xdr:row>
          <xdr:rowOff>175260</xdr:rowOff>
        </xdr:from>
        <xdr:to>
          <xdr:col>1</xdr:col>
          <xdr:colOff>1341120</xdr:colOff>
          <xdr:row>110</xdr:row>
          <xdr:rowOff>22860</xdr:rowOff>
        </xdr:to>
        <xdr:sp macro="" textlink="">
          <xdr:nvSpPr>
            <xdr:cNvPr id="46101" name="Check Box 21" hidden="1">
              <a:extLst>
                <a:ext uri="{63B3BB69-23CF-44E3-9099-C40C66FF867C}">
                  <a14:compatExt spid="_x0000_s46101"/>
                </a:ext>
                <a:ext uri="{FF2B5EF4-FFF2-40B4-BE49-F238E27FC236}">
                  <a16:creationId xmlns:a16="http://schemas.microsoft.com/office/drawing/2014/main" id="{00000000-0008-0000-0E00-00001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111</xdr:row>
          <xdr:rowOff>160020</xdr:rowOff>
        </xdr:from>
        <xdr:to>
          <xdr:col>1</xdr:col>
          <xdr:colOff>807720</xdr:colOff>
          <xdr:row>113</xdr:row>
          <xdr:rowOff>7620</xdr:rowOff>
        </xdr:to>
        <xdr:sp macro="" textlink="">
          <xdr:nvSpPr>
            <xdr:cNvPr id="46102" name="Check Box 22" hidden="1">
              <a:extLst>
                <a:ext uri="{63B3BB69-23CF-44E3-9099-C40C66FF867C}">
                  <a14:compatExt spid="_x0000_s46102"/>
                </a:ext>
                <a:ext uri="{FF2B5EF4-FFF2-40B4-BE49-F238E27FC236}">
                  <a16:creationId xmlns:a16="http://schemas.microsoft.com/office/drawing/2014/main" id="{00000000-0008-0000-0E00-00001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525780</xdr:colOff>
          <xdr:row>111</xdr:row>
          <xdr:rowOff>160020</xdr:rowOff>
        </xdr:from>
        <xdr:to>
          <xdr:col>1</xdr:col>
          <xdr:colOff>1333500</xdr:colOff>
          <xdr:row>113</xdr:row>
          <xdr:rowOff>7620</xdr:rowOff>
        </xdr:to>
        <xdr:sp macro="" textlink="">
          <xdr:nvSpPr>
            <xdr:cNvPr id="46103" name="Check Box 23" hidden="1">
              <a:extLst>
                <a:ext uri="{63B3BB69-23CF-44E3-9099-C40C66FF867C}">
                  <a14:compatExt spid="_x0000_s46103"/>
                </a:ext>
                <a:ext uri="{FF2B5EF4-FFF2-40B4-BE49-F238E27FC236}">
                  <a16:creationId xmlns:a16="http://schemas.microsoft.com/office/drawing/2014/main" id="{00000000-0008-0000-0E00-00001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twoCellAnchor editAs="oneCell">
    <xdr:from>
      <xdr:col>0</xdr:col>
      <xdr:colOff>0</xdr:colOff>
      <xdr:row>0</xdr:row>
      <xdr:rowOff>0</xdr:rowOff>
    </xdr:from>
    <xdr:to>
      <xdr:col>1</xdr:col>
      <xdr:colOff>1894819</xdr:colOff>
      <xdr:row>0</xdr:row>
      <xdr:rowOff>662841</xdr:rowOff>
    </xdr:to>
    <xdr:pic>
      <xdr:nvPicPr>
        <xdr:cNvPr id="26" name="Picture 25">
          <a:extLst>
            <a:ext uri="{FF2B5EF4-FFF2-40B4-BE49-F238E27FC236}">
              <a16:creationId xmlns:a16="http://schemas.microsoft.com/office/drawing/2014/main" id="{00000000-0008-0000-0E00-00001A000000}"/>
            </a:ext>
          </a:extLst>
        </xdr:cNvPr>
        <xdr:cNvPicPr>
          <a:picLocks noChangeAspect="1"/>
        </xdr:cNvPicPr>
      </xdr:nvPicPr>
      <xdr:blipFill>
        <a:blip xmlns:r="http://schemas.openxmlformats.org/officeDocument/2006/relationships" r:embed="rId1"/>
        <a:stretch>
          <a:fillRect/>
        </a:stretch>
      </xdr:blipFill>
      <xdr:spPr>
        <a:xfrm>
          <a:off x="0" y="0"/>
          <a:ext cx="2499937" cy="662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60960</xdr:colOff>
          <xdr:row>77</xdr:row>
          <xdr:rowOff>7620</xdr:rowOff>
        </xdr:from>
        <xdr:to>
          <xdr:col>2</xdr:col>
          <xdr:colOff>1127760</xdr:colOff>
          <xdr:row>78</xdr:row>
          <xdr:rowOff>30480</xdr:rowOff>
        </xdr:to>
        <xdr:sp macro="" textlink="">
          <xdr:nvSpPr>
            <xdr:cNvPr id="46105" name="Check Box 25" hidden="1">
              <a:extLst>
                <a:ext uri="{63B3BB69-23CF-44E3-9099-C40C66FF867C}">
                  <a14:compatExt spid="_x0000_s46105"/>
                </a:ext>
                <a:ext uri="{FF2B5EF4-FFF2-40B4-BE49-F238E27FC236}">
                  <a16:creationId xmlns:a16="http://schemas.microsoft.com/office/drawing/2014/main" id="{00000000-0008-0000-0E00-00001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Certified Housing Asset Manager (CHAM)</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458866</xdr:colOff>
      <xdr:row>0</xdr:row>
      <xdr:rowOff>662841</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stretch>
          <a:fillRect/>
        </a:stretch>
      </xdr:blipFill>
      <xdr:spPr>
        <a:xfrm>
          <a:off x="0" y="0"/>
          <a:ext cx="2509542" cy="66284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1347972</xdr:colOff>
      <xdr:row>0</xdr:row>
      <xdr:rowOff>662841</xdr:rowOff>
    </xdr:to>
    <xdr:pic>
      <xdr:nvPicPr>
        <xdr:cNvPr id="7" name="Picture 6">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1"/>
        <a:stretch>
          <a:fillRect/>
        </a:stretch>
      </xdr:blipFill>
      <xdr:spPr>
        <a:xfrm>
          <a:off x="0" y="0"/>
          <a:ext cx="2495454" cy="66284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1327547</xdr:colOff>
      <xdr:row>0</xdr:row>
      <xdr:rowOff>666750</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stretch>
          <a:fillRect/>
        </a:stretch>
      </xdr:blipFill>
      <xdr:spPr>
        <a:xfrm>
          <a:off x="0" y="0"/>
          <a:ext cx="2655094" cy="666750"/>
        </a:xfrm>
        <a:prstGeom prst="rect">
          <a:avLst/>
        </a:prstGeom>
      </xdr:spPr>
    </xdr:pic>
    <xdr:clientData/>
  </xdr:twoCellAnchor>
</xdr:wsDr>
</file>

<file path=xl/theme/theme1.xml><?xml version="1.0" encoding="utf-8"?>
<a:theme xmlns:a="http://schemas.openxmlformats.org/drawingml/2006/main" name="OHFA Theme">
  <a:themeElements>
    <a:clrScheme name="Custom 2">
      <a:dk1>
        <a:sysClr val="windowText" lastClr="000000"/>
      </a:dk1>
      <a:lt1>
        <a:sysClr val="window" lastClr="FFFFFF"/>
      </a:lt1>
      <a:dk2>
        <a:srgbClr val="44546A"/>
      </a:dk2>
      <a:lt2>
        <a:srgbClr val="E7E6E6"/>
      </a:lt2>
      <a:accent1>
        <a:srgbClr val="005186"/>
      </a:accent1>
      <a:accent2>
        <a:srgbClr val="56AA80"/>
      </a:accent2>
      <a:accent3>
        <a:srgbClr val="7F7F7F"/>
      </a:accent3>
      <a:accent4>
        <a:srgbClr val="A8DCDC"/>
      </a:accent4>
      <a:accent5>
        <a:srgbClr val="C4CC8F"/>
      </a:accent5>
      <a:accent6>
        <a:srgbClr val="D8D8D8"/>
      </a:accent6>
      <a:hlink>
        <a:srgbClr val="407F60"/>
      </a:hlink>
      <a:folHlink>
        <a:srgbClr val="005186"/>
      </a:folHlink>
    </a:clrScheme>
    <a:fontScheme name="Custom 2">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hiohome.org/ppd/documents/2023-QAP-TechnicalAmendment.pdf" TargetMode="External"/><Relationship Id="rId7" Type="http://schemas.openxmlformats.org/officeDocument/2006/relationships/drawing" Target="../drawings/drawing1.xml"/><Relationship Id="rId2" Type="http://schemas.openxmlformats.org/officeDocument/2006/relationships/hyperlink" Target="http://ohiohome.org/ppd/hdl.aspx" TargetMode="External"/><Relationship Id="rId1" Type="http://schemas.openxmlformats.org/officeDocument/2006/relationships/hyperlink" Target="http://ohiohome.org/ppd/mfbond.aspx" TargetMode="External"/><Relationship Id="rId6" Type="http://schemas.openxmlformats.org/officeDocument/2006/relationships/printerSettings" Target="../printerSettings/printerSettings1.bin"/><Relationship Id="rId5" Type="http://schemas.openxmlformats.org/officeDocument/2006/relationships/hyperlink" Target="https://ohiohome.org/ppd/documents/2023-DesignArchitecturalStandards-Clean.pdf" TargetMode="External"/><Relationship Id="rId4" Type="http://schemas.openxmlformats.org/officeDocument/2006/relationships/hyperlink" Target="https://ohiohome.org/ppd/documents/2023-MultifamilyUnderwritingGuidelines.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ohiohome.org/ppd/documents/2023-QAP-TechnicalAmendment.pdf" TargetMode="External"/><Relationship Id="rId2" Type="http://schemas.openxmlformats.org/officeDocument/2006/relationships/hyperlink" Target="https://ohiohome.org/ppd/mfbond.aspx" TargetMode="External"/><Relationship Id="rId1" Type="http://schemas.openxmlformats.org/officeDocument/2006/relationships/hyperlink" Target="https://ohiohome.org/ppd/documents/2020-2021-QAP-TechnicalRevisions.pdf"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house.gov/representatives/find-your-representative" TargetMode="External"/><Relationship Id="rId13" Type="http://schemas.openxmlformats.org/officeDocument/2006/relationships/hyperlink" Target="https://geomap.ffiec.gov/FFIECGeocMap/GeocodeMap1.aspx" TargetMode="External"/><Relationship Id="rId18" Type="http://schemas.openxmlformats.org/officeDocument/2006/relationships/hyperlink" Target="https://tools.usps.com/go/ZipLookupAction!input.action" TargetMode="External"/><Relationship Id="rId3" Type="http://schemas.openxmlformats.org/officeDocument/2006/relationships/hyperlink" Target="https://geomap.ffiec.gov/FFIECGeocMap/GeocodeMap1.aspx" TargetMode="External"/><Relationship Id="rId21" Type="http://schemas.openxmlformats.org/officeDocument/2006/relationships/vmlDrawing" Target="../drawings/vmlDrawing1.vml"/><Relationship Id="rId7" Type="http://schemas.openxmlformats.org/officeDocument/2006/relationships/hyperlink" Target="https://www.legislature.ohio.gov/legislators/find-my-legislators" TargetMode="External"/><Relationship Id="rId12" Type="http://schemas.openxmlformats.org/officeDocument/2006/relationships/hyperlink" Target="https://geocoding.geo.census.gov/geocoder/geographies/address?form" TargetMode="External"/><Relationship Id="rId17" Type="http://schemas.openxmlformats.org/officeDocument/2006/relationships/hyperlink" Target="https://geocoding.geo.census.gov/geocoder/geographies/address?form" TargetMode="External"/><Relationship Id="rId2" Type="http://schemas.openxmlformats.org/officeDocument/2006/relationships/hyperlink" Target="https://www.latlong.net/" TargetMode="External"/><Relationship Id="rId16" Type="http://schemas.openxmlformats.org/officeDocument/2006/relationships/hyperlink" Target="https://www.legislature.ohio.gov/members/district-maps" TargetMode="External"/><Relationship Id="rId20" Type="http://schemas.openxmlformats.org/officeDocument/2006/relationships/drawing" Target="../drawings/drawing4.xml"/><Relationship Id="rId1" Type="http://schemas.openxmlformats.org/officeDocument/2006/relationships/hyperlink" Target="https://www.latlong.net/" TargetMode="External"/><Relationship Id="rId6" Type="http://schemas.openxmlformats.org/officeDocument/2006/relationships/hyperlink" Target="https://www.legislature.ohio.gov/legislators/find-my-legislators" TargetMode="External"/><Relationship Id="rId11" Type="http://schemas.openxmlformats.org/officeDocument/2006/relationships/hyperlink" Target="https://geocoding.geo.census.gov/geocoder/geographies/address?form" TargetMode="External"/><Relationship Id="rId5" Type="http://schemas.openxmlformats.org/officeDocument/2006/relationships/hyperlink" Target="https://tools.usps.com/go/ZipLookupAction!input.action" TargetMode="External"/><Relationship Id="rId15" Type="http://schemas.openxmlformats.org/officeDocument/2006/relationships/hyperlink" Target="https://www.legislature.ohio.gov/members/district-maps" TargetMode="External"/><Relationship Id="rId10" Type="http://schemas.openxmlformats.org/officeDocument/2006/relationships/hyperlink" Target="https://geocoding.geo.census.gov/geocoder/geographies/address?form" TargetMode="External"/><Relationship Id="rId19" Type="http://schemas.openxmlformats.org/officeDocument/2006/relationships/printerSettings" Target="../printerSettings/printerSettings4.bin"/><Relationship Id="rId4" Type="http://schemas.openxmlformats.org/officeDocument/2006/relationships/hyperlink" Target="https://www.hud.gov/program_offices/fair_housing_equal_opp/fair_housing_act_housing_older_persons" TargetMode="External"/><Relationship Id="rId9" Type="http://schemas.openxmlformats.org/officeDocument/2006/relationships/hyperlink" Target="https://ohfa.maps.arcgis.com/apps/instant/lookup/index.html?appid=69581d7b2c9d43b4937f83ded364406b" TargetMode="External"/><Relationship Id="rId14" Type="http://schemas.openxmlformats.org/officeDocument/2006/relationships/hyperlink" Target="https://geocoding.geo.census.gov/geocoder/geographies/address?form" TargetMode="External"/><Relationship Id="rId22"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ohiohome.org/ppd/documents/2019-HDL-Guidelines.pdf" TargetMode="External"/><Relationship Id="rId1" Type="http://schemas.openxmlformats.org/officeDocument/2006/relationships/hyperlink" Target="http://ohiohome.org/ppd/hdl.aspx" TargetMode="Externa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6.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s://www.huduser.gov/portal/datasets/mtsp.html" TargetMode="External"/><Relationship Id="rId2" Type="http://schemas.openxmlformats.org/officeDocument/2006/relationships/hyperlink" Target="https://www.huduser.gov/portal/datasets/qct.html" TargetMode="External"/><Relationship Id="rId1" Type="http://schemas.openxmlformats.org/officeDocument/2006/relationships/hyperlink" Target="https://www.huduser.gov/portal/datasets/qct.html" TargetMode="External"/><Relationship Id="rId6" Type="http://schemas.openxmlformats.org/officeDocument/2006/relationships/drawing" Target="../drawings/drawing17.xml"/><Relationship Id="rId5" Type="http://schemas.openxmlformats.org/officeDocument/2006/relationships/printerSettings" Target="../printerSettings/printerSettings17.bin"/><Relationship Id="rId4" Type="http://schemas.openxmlformats.org/officeDocument/2006/relationships/hyperlink" Target="https://www.govinfo.gov/content/pkg/USCODE-2011-title26/pdf/USCODE-2011-title26-subtitleA-chap1-subchapA-partIV-subpartD-sec42.pdf"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M80"/>
  <sheetViews>
    <sheetView showGridLines="0" tabSelected="1" zoomScaleNormal="100" workbookViewId="0">
      <selection activeCell="A4" sqref="A4"/>
    </sheetView>
  </sheetViews>
  <sheetFormatPr defaultColWidth="9" defaultRowHeight="13.8" x14ac:dyDescent="0.25"/>
  <cols>
    <col min="1" max="1" width="3.69921875" style="5" customWidth="1"/>
    <col min="2" max="2" width="11.19921875" style="5" customWidth="1"/>
    <col min="3" max="3" width="45.59765625" style="5" customWidth="1"/>
    <col min="4" max="6" width="9.8984375" style="5" customWidth="1"/>
    <col min="7" max="7" width="4.19921875" style="5" customWidth="1"/>
    <col min="8" max="8" width="8.5" style="5" customWidth="1"/>
    <col min="9" max="9" width="45.59765625" style="5" customWidth="1"/>
    <col min="10" max="11" width="12.59765625" style="5" customWidth="1"/>
    <col min="12" max="12" width="4.19921875" style="5" customWidth="1"/>
    <col min="13" max="13" width="29.19921875" style="5" customWidth="1"/>
    <col min="14" max="16384" width="9" style="5"/>
  </cols>
  <sheetData>
    <row r="1" spans="1:13" ht="54.9" customHeight="1" x14ac:dyDescent="0.25"/>
    <row r="2" spans="1:13" s="1" customFormat="1" ht="23.4" x14ac:dyDescent="0.4">
      <c r="A2" s="366" t="s">
        <v>0</v>
      </c>
      <c r="I2" s="237"/>
    </row>
    <row r="3" spans="1:13" s="573" customFormat="1" ht="15" x14ac:dyDescent="0.25">
      <c r="A3" s="572" t="s">
        <v>7908</v>
      </c>
      <c r="D3" s="574"/>
      <c r="I3" s="575"/>
    </row>
    <row r="4" spans="1:13" ht="15.75" customHeight="1" x14ac:dyDescent="0.25"/>
    <row r="5" spans="1:13" ht="20.399999999999999" x14ac:dyDescent="0.35">
      <c r="A5" s="483" t="s">
        <v>803</v>
      </c>
    </row>
    <row r="6" spans="1:13" x14ac:dyDescent="0.25">
      <c r="A6" s="82" t="s">
        <v>1444</v>
      </c>
    </row>
    <row r="7" spans="1:13" ht="14.25" customHeight="1" x14ac:dyDescent="0.25">
      <c r="A7" s="82" t="s">
        <v>1267</v>
      </c>
      <c r="B7" s="82"/>
      <c r="C7" s="82"/>
      <c r="D7" s="82"/>
      <c r="E7" s="82"/>
      <c r="F7" s="82"/>
      <c r="G7" s="82"/>
      <c r="H7" s="82"/>
      <c r="I7" s="82"/>
      <c r="J7" s="82"/>
      <c r="K7" s="82"/>
      <c r="M7" s="685" t="s">
        <v>1286</v>
      </c>
    </row>
    <row r="8" spans="1:13" ht="14.25" customHeight="1" x14ac:dyDescent="0.25">
      <c r="A8" s="290" t="s">
        <v>1269</v>
      </c>
      <c r="B8" s="82"/>
      <c r="C8" s="82"/>
      <c r="D8" s="82"/>
      <c r="E8" s="82"/>
      <c r="F8" s="82"/>
      <c r="G8" s="82"/>
      <c r="H8" s="82"/>
      <c r="I8" s="82"/>
      <c r="J8" s="82"/>
      <c r="K8" s="82"/>
      <c r="M8" s="686"/>
    </row>
    <row r="9" spans="1:13" ht="45" customHeight="1" x14ac:dyDescent="0.25">
      <c r="A9" s="688" t="s">
        <v>1443</v>
      </c>
      <c r="B9" s="688"/>
      <c r="C9" s="688"/>
      <c r="D9" s="688"/>
      <c r="E9" s="688"/>
      <c r="F9" s="688"/>
      <c r="G9" s="688"/>
      <c r="H9" s="688"/>
      <c r="I9" s="688"/>
      <c r="J9" s="688"/>
      <c r="K9" s="688"/>
      <c r="M9" s="686"/>
    </row>
    <row r="10" spans="1:13" x14ac:dyDescent="0.25">
      <c r="A10" s="290" t="s">
        <v>1270</v>
      </c>
      <c r="B10" s="216"/>
      <c r="C10" s="216"/>
      <c r="D10" s="216"/>
      <c r="E10" s="216"/>
      <c r="F10" s="216"/>
      <c r="G10" s="216"/>
      <c r="H10" s="216"/>
      <c r="I10" s="216"/>
      <c r="J10" s="216"/>
      <c r="K10" s="216"/>
      <c r="M10" s="686"/>
    </row>
    <row r="11" spans="1:13" x14ac:dyDescent="0.25">
      <c r="A11" s="290" t="s">
        <v>1268</v>
      </c>
      <c r="B11" s="290"/>
      <c r="C11" s="290"/>
      <c r="D11" s="290"/>
      <c r="E11" s="290"/>
      <c r="F11" s="290"/>
      <c r="G11" s="290"/>
      <c r="H11" s="290"/>
      <c r="I11" s="290"/>
      <c r="J11" s="290"/>
      <c r="K11" s="290"/>
      <c r="M11" s="686"/>
    </row>
    <row r="12" spans="1:13" x14ac:dyDescent="0.25">
      <c r="A12" s="290" t="s">
        <v>1439</v>
      </c>
      <c r="B12" s="290"/>
      <c r="C12" s="290"/>
      <c r="D12" s="290"/>
      <c r="E12" s="290"/>
      <c r="F12" s="290"/>
      <c r="G12" s="290"/>
      <c r="H12" s="290"/>
      <c r="I12" s="290"/>
      <c r="J12" s="290"/>
      <c r="K12" s="290"/>
      <c r="M12" s="686"/>
    </row>
    <row r="13" spans="1:13" x14ac:dyDescent="0.25">
      <c r="A13" s="290" t="s">
        <v>1440</v>
      </c>
      <c r="B13" s="290"/>
      <c r="C13" s="290"/>
      <c r="D13" s="290"/>
      <c r="E13" s="290"/>
      <c r="F13" s="290"/>
      <c r="G13" s="290"/>
      <c r="H13" s="290"/>
      <c r="I13" s="290"/>
      <c r="J13" s="290"/>
      <c r="K13" s="290"/>
      <c r="M13" s="686"/>
    </row>
    <row r="14" spans="1:13" x14ac:dyDescent="0.25">
      <c r="A14" s="290" t="s">
        <v>1441</v>
      </c>
      <c r="B14" s="290"/>
      <c r="C14" s="290"/>
      <c r="D14" s="290"/>
      <c r="E14" s="290"/>
      <c r="F14" s="290"/>
      <c r="G14" s="290"/>
      <c r="H14" s="290"/>
      <c r="I14" s="290"/>
      <c r="J14" s="290"/>
      <c r="K14" s="290"/>
      <c r="M14" s="686"/>
    </row>
    <row r="15" spans="1:13" x14ac:dyDescent="0.25">
      <c r="A15" s="576"/>
      <c r="B15" s="576"/>
      <c r="C15" s="576"/>
      <c r="D15" s="576"/>
      <c r="E15" s="576"/>
      <c r="F15" s="576"/>
      <c r="G15" s="576"/>
      <c r="H15" s="576"/>
      <c r="I15" s="576"/>
      <c r="J15" s="290"/>
      <c r="K15" s="290"/>
      <c r="M15" s="686"/>
    </row>
    <row r="16" spans="1:13" x14ac:dyDescent="0.25">
      <c r="A16" s="290"/>
      <c r="B16" s="290"/>
      <c r="C16" s="290"/>
      <c r="D16" s="290"/>
      <c r="E16" s="290"/>
      <c r="F16" s="290"/>
      <c r="G16" s="290"/>
      <c r="H16" s="290"/>
      <c r="I16" s="290"/>
      <c r="J16" s="290"/>
      <c r="K16" s="290"/>
      <c r="M16" s="686"/>
    </row>
    <row r="17" spans="1:13" ht="30.75" customHeight="1" x14ac:dyDescent="0.25">
      <c r="A17" s="689" t="s">
        <v>1442</v>
      </c>
      <c r="B17" s="689"/>
      <c r="C17" s="689"/>
      <c r="D17" s="689"/>
      <c r="E17" s="689"/>
      <c r="F17" s="689"/>
      <c r="G17" s="689"/>
      <c r="H17" s="689"/>
      <c r="I17" s="689"/>
      <c r="J17" s="689"/>
      <c r="K17" s="689"/>
      <c r="M17" s="686"/>
    </row>
    <row r="18" spans="1:13" x14ac:dyDescent="0.25">
      <c r="A18" s="88"/>
      <c r="B18" s="415"/>
      <c r="C18" s="88" t="s">
        <v>184</v>
      </c>
      <c r="D18" s="88"/>
      <c r="E18" s="88"/>
      <c r="F18" s="88"/>
      <c r="G18" s="88"/>
      <c r="H18" s="88"/>
      <c r="I18" s="88"/>
      <c r="J18" s="88"/>
      <c r="K18" s="88"/>
      <c r="M18" s="686"/>
    </row>
    <row r="19" spans="1:13" x14ac:dyDescent="0.25">
      <c r="A19" s="88"/>
      <c r="B19" s="416"/>
      <c r="C19" s="88" t="s">
        <v>841</v>
      </c>
      <c r="D19" s="88"/>
      <c r="E19" s="88"/>
      <c r="F19" s="88"/>
      <c r="G19" s="88"/>
      <c r="H19" s="88"/>
      <c r="I19" s="88"/>
      <c r="J19" s="88"/>
      <c r="K19" s="88"/>
      <c r="M19" s="686"/>
    </row>
    <row r="20" spans="1:13" x14ac:dyDescent="0.25">
      <c r="A20" s="88"/>
      <c r="B20" s="417"/>
      <c r="C20" s="88" t="s">
        <v>835</v>
      </c>
      <c r="D20" s="88"/>
      <c r="E20" s="88"/>
      <c r="F20" s="88"/>
      <c r="G20" s="88"/>
      <c r="H20" s="88"/>
      <c r="I20" s="88"/>
      <c r="J20" s="88"/>
      <c r="K20" s="88"/>
      <c r="M20" s="686"/>
    </row>
    <row r="21" spans="1:13" x14ac:dyDescent="0.25">
      <c r="A21" s="88"/>
      <c r="B21" s="418"/>
      <c r="C21" s="88" t="s">
        <v>999</v>
      </c>
      <c r="D21" s="88"/>
      <c r="E21" s="88"/>
      <c r="F21" s="88"/>
      <c r="G21" s="88"/>
      <c r="H21" s="88"/>
      <c r="I21" s="88"/>
      <c r="J21" s="88"/>
      <c r="K21" s="88"/>
      <c r="M21" s="686"/>
    </row>
    <row r="22" spans="1:13" x14ac:dyDescent="0.25">
      <c r="M22" s="686"/>
    </row>
    <row r="23" spans="1:13" ht="20.25" customHeight="1" x14ac:dyDescent="0.35">
      <c r="A23" s="483" t="s">
        <v>1445</v>
      </c>
      <c r="M23" s="687"/>
    </row>
    <row r="24" spans="1:13" x14ac:dyDescent="0.25">
      <c r="A24" s="290"/>
      <c r="B24" s="691" t="s">
        <v>1601</v>
      </c>
      <c r="C24" s="691"/>
      <c r="M24" s="489"/>
    </row>
    <row r="25" spans="1:13" ht="14.25" customHeight="1" x14ac:dyDescent="0.25">
      <c r="B25" s="692" t="s">
        <v>1602</v>
      </c>
      <c r="C25" s="692"/>
    </row>
    <row r="26" spans="1:13" ht="14.25" customHeight="1" x14ac:dyDescent="0.25">
      <c r="B26" s="692" t="s">
        <v>1603</v>
      </c>
      <c r="C26" s="692"/>
    </row>
    <row r="27" spans="1:13" ht="14.25" customHeight="1" x14ac:dyDescent="0.25">
      <c r="B27" s="691" t="s">
        <v>909</v>
      </c>
      <c r="C27" s="691"/>
    </row>
    <row r="28" spans="1:13" ht="14.25" customHeight="1" x14ac:dyDescent="0.25">
      <c r="B28" s="691" t="s">
        <v>1145</v>
      </c>
      <c r="C28" s="691"/>
    </row>
    <row r="29" spans="1:13" ht="15" customHeight="1" x14ac:dyDescent="0.25"/>
    <row r="30" spans="1:13" ht="20.25" customHeight="1" x14ac:dyDescent="0.35">
      <c r="A30" s="483" t="s">
        <v>1368</v>
      </c>
      <c r="B30" s="216"/>
      <c r="C30" s="216"/>
      <c r="D30" s="216"/>
      <c r="E30" s="216"/>
      <c r="F30" s="216"/>
    </row>
    <row r="31" spans="1:13" ht="15" customHeight="1" x14ac:dyDescent="0.3">
      <c r="A31" s="690" t="s">
        <v>1369</v>
      </c>
      <c r="B31" s="690"/>
      <c r="C31" s="445" t="s">
        <v>1370</v>
      </c>
      <c r="D31" s="216"/>
      <c r="E31" s="216"/>
      <c r="F31" s="216"/>
    </row>
    <row r="32" spans="1:13" ht="14.25" customHeight="1" x14ac:dyDescent="0.25">
      <c r="A32" s="683">
        <v>45083</v>
      </c>
      <c r="B32" s="683"/>
      <c r="C32" s="511" t="s">
        <v>1666</v>
      </c>
      <c r="G32" s="216"/>
    </row>
    <row r="33" spans="1:3" x14ac:dyDescent="0.25">
      <c r="A33" s="683"/>
      <c r="B33" s="683"/>
      <c r="C33" s="509"/>
    </row>
    <row r="34" spans="1:3" x14ac:dyDescent="0.25">
      <c r="A34" s="683"/>
      <c r="B34" s="683"/>
      <c r="C34" s="509"/>
    </row>
    <row r="35" spans="1:3" x14ac:dyDescent="0.25">
      <c r="A35" s="683"/>
      <c r="B35" s="683"/>
      <c r="C35" s="509"/>
    </row>
    <row r="36" spans="1:3" x14ac:dyDescent="0.25">
      <c r="A36" s="683"/>
      <c r="B36" s="683"/>
      <c r="C36" s="509"/>
    </row>
    <row r="37" spans="1:3" x14ac:dyDescent="0.25">
      <c r="A37" s="683"/>
      <c r="B37" s="683"/>
      <c r="C37" s="509"/>
    </row>
    <row r="38" spans="1:3" x14ac:dyDescent="0.25">
      <c r="A38" s="683"/>
      <c r="B38" s="683"/>
      <c r="C38" s="509"/>
    </row>
    <row r="39" spans="1:3" x14ac:dyDescent="0.25">
      <c r="A39" s="683"/>
      <c r="B39" s="683"/>
    </row>
    <row r="40" spans="1:3" x14ac:dyDescent="0.25">
      <c r="A40" s="683"/>
      <c r="B40" s="683"/>
      <c r="C40" s="509"/>
    </row>
    <row r="41" spans="1:3" x14ac:dyDescent="0.25">
      <c r="A41" s="683"/>
      <c r="B41" s="683"/>
      <c r="C41" s="509"/>
    </row>
    <row r="42" spans="1:3" x14ac:dyDescent="0.25">
      <c r="A42" s="683"/>
      <c r="B42" s="683"/>
      <c r="C42" s="510"/>
    </row>
    <row r="43" spans="1:3" x14ac:dyDescent="0.25">
      <c r="A43" s="683"/>
      <c r="B43" s="683"/>
      <c r="C43" s="509"/>
    </row>
    <row r="44" spans="1:3" x14ac:dyDescent="0.25">
      <c r="A44" s="683"/>
      <c r="B44" s="683"/>
      <c r="C44" s="509"/>
    </row>
    <row r="45" spans="1:3" x14ac:dyDescent="0.25">
      <c r="A45" s="683"/>
      <c r="B45" s="683"/>
      <c r="C45" s="509"/>
    </row>
    <row r="46" spans="1:3" x14ac:dyDescent="0.25">
      <c r="A46" s="683"/>
      <c r="B46" s="683"/>
      <c r="C46" s="509"/>
    </row>
    <row r="47" spans="1:3" x14ac:dyDescent="0.25">
      <c r="A47" s="683"/>
      <c r="B47" s="683"/>
      <c r="C47" s="509"/>
    </row>
    <row r="48" spans="1:3" x14ac:dyDescent="0.25">
      <c r="A48" s="683"/>
      <c r="B48" s="683"/>
      <c r="C48" s="509"/>
    </row>
    <row r="49" spans="1:3" x14ac:dyDescent="0.25">
      <c r="A49" s="683"/>
      <c r="B49" s="683"/>
      <c r="C49" s="509"/>
    </row>
    <row r="50" spans="1:3" ht="14.4" x14ac:dyDescent="0.3">
      <c r="A50" s="683"/>
      <c r="B50" s="683"/>
      <c r="C50" s="514"/>
    </row>
    <row r="51" spans="1:3" x14ac:dyDescent="0.25">
      <c r="A51" s="683"/>
      <c r="B51" s="683"/>
      <c r="C51" s="509"/>
    </row>
    <row r="52" spans="1:3" x14ac:dyDescent="0.25">
      <c r="A52" s="684"/>
      <c r="B52" s="684"/>
    </row>
    <row r="53" spans="1:3" x14ac:dyDescent="0.25">
      <c r="A53" s="217"/>
    </row>
    <row r="54" spans="1:3" x14ac:dyDescent="0.25">
      <c r="A54" s="217"/>
    </row>
    <row r="55" spans="1:3" x14ac:dyDescent="0.25">
      <c r="A55" s="217"/>
    </row>
    <row r="56" spans="1:3" x14ac:dyDescent="0.25">
      <c r="A56" s="217"/>
    </row>
    <row r="57" spans="1:3" x14ac:dyDescent="0.25">
      <c r="A57" s="217"/>
    </row>
    <row r="58" spans="1:3" x14ac:dyDescent="0.25">
      <c r="A58" s="217"/>
    </row>
    <row r="59" spans="1:3" x14ac:dyDescent="0.25">
      <c r="A59" s="217"/>
    </row>
    <row r="60" spans="1:3" x14ac:dyDescent="0.25">
      <c r="A60" s="217"/>
    </row>
    <row r="61" spans="1:3" x14ac:dyDescent="0.25">
      <c r="A61" s="217"/>
    </row>
    <row r="62" spans="1:3" x14ac:dyDescent="0.25">
      <c r="A62" s="217"/>
    </row>
    <row r="63" spans="1:3" x14ac:dyDescent="0.25">
      <c r="A63" s="217"/>
    </row>
    <row r="64" spans="1:3" x14ac:dyDescent="0.25">
      <c r="A64" s="217"/>
    </row>
    <row r="65" spans="1:1" x14ac:dyDescent="0.25">
      <c r="A65" s="217"/>
    </row>
    <row r="66" spans="1:1" x14ac:dyDescent="0.25">
      <c r="A66" s="217"/>
    </row>
    <row r="67" spans="1:1" x14ac:dyDescent="0.25">
      <c r="A67" s="217"/>
    </row>
    <row r="68" spans="1:1" x14ac:dyDescent="0.25">
      <c r="A68" s="217"/>
    </row>
    <row r="69" spans="1:1" x14ac:dyDescent="0.25">
      <c r="A69" s="217"/>
    </row>
    <row r="70" spans="1:1" x14ac:dyDescent="0.25">
      <c r="A70" s="217"/>
    </row>
    <row r="71" spans="1:1" x14ac:dyDescent="0.25">
      <c r="A71" s="217"/>
    </row>
    <row r="72" spans="1:1" x14ac:dyDescent="0.25">
      <c r="A72" s="217"/>
    </row>
    <row r="73" spans="1:1" x14ac:dyDescent="0.25">
      <c r="A73" s="217"/>
    </row>
    <row r="74" spans="1:1" x14ac:dyDescent="0.25">
      <c r="A74" s="217"/>
    </row>
    <row r="75" spans="1:1" x14ac:dyDescent="0.25">
      <c r="A75" s="217"/>
    </row>
    <row r="76" spans="1:1" x14ac:dyDescent="0.25">
      <c r="A76" s="217"/>
    </row>
    <row r="77" spans="1:1" x14ac:dyDescent="0.25">
      <c r="A77" s="217"/>
    </row>
    <row r="78" spans="1:1" x14ac:dyDescent="0.25">
      <c r="A78" s="217"/>
    </row>
    <row r="79" spans="1:1" x14ac:dyDescent="0.25">
      <c r="A79" s="217"/>
    </row>
    <row r="80" spans="1:1" x14ac:dyDescent="0.25">
      <c r="A80" s="217"/>
    </row>
  </sheetData>
  <sheetProtection algorithmName="SHA-512" hashValue="O2cbBZyiGUnovO18bY2vLNgcZzkp8u9n8g88y7M0pGwHYJw/TmsL6mQkbVvnaG50t25d83j1jAtXTRnD2ZhvVA==" saltValue="p/Gewpfaf35czXT/0QTNkw==" spinCount="100000" sheet="1" objects="1" scenarios="1"/>
  <mergeCells count="30">
    <mergeCell ref="B24:C24"/>
    <mergeCell ref="B25:C25"/>
    <mergeCell ref="B26:C26"/>
    <mergeCell ref="B27:C27"/>
    <mergeCell ref="B28:C28"/>
    <mergeCell ref="A52:B52"/>
    <mergeCell ref="A33:B33"/>
    <mergeCell ref="M7:M23"/>
    <mergeCell ref="A9:K9"/>
    <mergeCell ref="A17:K17"/>
    <mergeCell ref="A32:B32"/>
    <mergeCell ref="A31:B31"/>
    <mergeCell ref="A51:B51"/>
    <mergeCell ref="A34:B34"/>
    <mergeCell ref="A35:B35"/>
    <mergeCell ref="A36:B36"/>
    <mergeCell ref="A37:B37"/>
    <mergeCell ref="A41:B41"/>
    <mergeCell ref="A38:B38"/>
    <mergeCell ref="A39:B39"/>
    <mergeCell ref="A40:B40"/>
    <mergeCell ref="A47:B47"/>
    <mergeCell ref="A48:B48"/>
    <mergeCell ref="A49:B49"/>
    <mergeCell ref="A50:B50"/>
    <mergeCell ref="A42:B42"/>
    <mergeCell ref="A43:B43"/>
    <mergeCell ref="A44:B44"/>
    <mergeCell ref="A45:B45"/>
    <mergeCell ref="A46:B46"/>
  </mergeCells>
  <hyperlinks>
    <hyperlink ref="B28" r:id="rId1" display="2017 Multifamily Bond Financing Guidelines" xr:uid="{00000000-0004-0000-0000-000000000000}"/>
    <hyperlink ref="B27" r:id="rId2" xr:uid="{00000000-0004-0000-0000-000001000000}"/>
    <hyperlink ref="B24" r:id="rId3" xr:uid="{00000000-0004-0000-0000-000002000000}"/>
    <hyperlink ref="B25" r:id="rId4" xr:uid="{00000000-0004-0000-0000-000003000000}"/>
    <hyperlink ref="B26" r:id="rId5" xr:uid="{00000000-0004-0000-0000-000004000000}"/>
  </hyperlinks>
  <pageMargins left="0.7" right="0.7" top="0.75" bottom="0.75" header="0.3" footer="0.3"/>
  <pageSetup scale="39"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K64"/>
  <sheetViews>
    <sheetView showGridLines="0" zoomScaleNormal="100" workbookViewId="0">
      <selection activeCell="I21" sqref="I21"/>
    </sheetView>
  </sheetViews>
  <sheetFormatPr defaultColWidth="9" defaultRowHeight="13.8" x14ac:dyDescent="0.25"/>
  <cols>
    <col min="1" max="1" width="3.69921875" style="5" customWidth="1"/>
    <col min="2" max="2" width="8.59765625" style="5" customWidth="1"/>
    <col min="3" max="3" width="51.09765625" style="5" customWidth="1"/>
    <col min="4" max="6" width="10.59765625" style="5" customWidth="1"/>
    <col min="7" max="7" width="9" style="5" customWidth="1"/>
    <col min="8" max="8" width="8.59765625" style="5" customWidth="1"/>
    <col min="9" max="9" width="45.59765625" style="5" customWidth="1"/>
    <col min="10" max="11" width="10.59765625" style="5" customWidth="1"/>
    <col min="12" max="12" width="9" style="5" customWidth="1"/>
    <col min="13" max="16384" width="9" style="5"/>
  </cols>
  <sheetData>
    <row r="1" spans="1:11" ht="54.9" customHeight="1" x14ac:dyDescent="0.25"/>
    <row r="2" spans="1:11" s="1" customFormat="1" ht="23.4" x14ac:dyDescent="0.4">
      <c r="A2" s="366" t="s">
        <v>804</v>
      </c>
      <c r="H2" s="237"/>
    </row>
    <row r="3" spans="1:11" s="2" customFormat="1" ht="15.75" customHeight="1" x14ac:dyDescent="0.25">
      <c r="A3" s="367" t="s">
        <v>1436</v>
      </c>
      <c r="D3" s="35"/>
      <c r="H3" s="485"/>
    </row>
    <row r="5" spans="1:11" x14ac:dyDescent="0.25">
      <c r="A5" s="292" t="s">
        <v>4922</v>
      </c>
    </row>
    <row r="6" spans="1:11" ht="14.4" x14ac:dyDescent="0.3">
      <c r="A6" s="484"/>
    </row>
    <row r="7" spans="1:11" ht="18" customHeight="1" x14ac:dyDescent="0.25">
      <c r="A7" s="88" t="s">
        <v>1438</v>
      </c>
    </row>
    <row r="8" spans="1:11" x14ac:dyDescent="0.25">
      <c r="A8" s="5" t="s">
        <v>1261</v>
      </c>
    </row>
    <row r="9" spans="1:11" x14ac:dyDescent="0.25">
      <c r="A9" s="5" t="s">
        <v>1264</v>
      </c>
    </row>
    <row r="10" spans="1:11" x14ac:dyDescent="0.25">
      <c r="A10" s="5" t="s">
        <v>1265</v>
      </c>
    </row>
    <row r="11" spans="1:11" x14ac:dyDescent="0.25">
      <c r="A11" s="5" t="s">
        <v>1262</v>
      </c>
    </row>
    <row r="12" spans="1:11" x14ac:dyDescent="0.25">
      <c r="A12" s="5" t="s">
        <v>1263</v>
      </c>
    </row>
    <row r="13" spans="1:11" x14ac:dyDescent="0.25">
      <c r="A13" s="5" t="s">
        <v>1266</v>
      </c>
    </row>
    <row r="15" spans="1:11" ht="18" customHeight="1" x14ac:dyDescent="0.25">
      <c r="A15" s="88" t="s">
        <v>1437</v>
      </c>
    </row>
    <row r="16" spans="1:11" ht="15" customHeight="1" x14ac:dyDescent="0.25">
      <c r="A16" s="688" t="s">
        <v>1664</v>
      </c>
      <c r="B16" s="688"/>
      <c r="C16" s="688"/>
      <c r="D16" s="688"/>
      <c r="E16" s="688"/>
      <c r="F16" s="688"/>
      <c r="G16" s="688"/>
      <c r="H16" s="688"/>
      <c r="I16" s="688"/>
      <c r="J16" s="688"/>
      <c r="K16" s="688"/>
    </row>
    <row r="17" spans="1:11" x14ac:dyDescent="0.25">
      <c r="A17" s="5" t="s">
        <v>1532</v>
      </c>
    </row>
    <row r="18" spans="1:11" ht="33" customHeight="1" x14ac:dyDescent="0.25">
      <c r="A18" s="688" t="s">
        <v>1665</v>
      </c>
      <c r="B18" s="688"/>
      <c r="C18" s="688"/>
      <c r="D18" s="688"/>
      <c r="E18" s="688"/>
      <c r="F18" s="688"/>
      <c r="G18" s="688"/>
      <c r="H18" s="688"/>
      <c r="I18" s="688"/>
      <c r="J18" s="688"/>
      <c r="K18" s="688"/>
    </row>
    <row r="20" spans="1:11" ht="24" customHeight="1" x14ac:dyDescent="0.25">
      <c r="B20" s="693" t="s">
        <v>1667</v>
      </c>
      <c r="C20" s="694"/>
      <c r="D20" s="694"/>
      <c r="E20" s="695"/>
    </row>
    <row r="21" spans="1:11" ht="18" customHeight="1" x14ac:dyDescent="0.25">
      <c r="B21" s="696" t="s">
        <v>1668</v>
      </c>
      <c r="C21" s="697"/>
      <c r="D21" s="697"/>
      <c r="E21" s="698"/>
    </row>
    <row r="22" spans="1:11" x14ac:dyDescent="0.25">
      <c r="B22" s="652"/>
      <c r="C22" s="656"/>
      <c r="D22" s="699" t="s">
        <v>889</v>
      </c>
      <c r="E22" s="699"/>
    </row>
    <row r="23" spans="1:11" s="57" customFormat="1" ht="30" customHeight="1" x14ac:dyDescent="0.25">
      <c r="B23" s="653" t="s">
        <v>888</v>
      </c>
      <c r="C23" s="653" t="s">
        <v>1148</v>
      </c>
      <c r="D23" s="654" t="s">
        <v>4917</v>
      </c>
      <c r="E23" s="655" t="s">
        <v>4918</v>
      </c>
    </row>
    <row r="24" spans="1:11" ht="14.25" customHeight="1" x14ac:dyDescent="0.25">
      <c r="B24" s="291">
        <v>1</v>
      </c>
      <c r="C24" s="486" t="s">
        <v>4910</v>
      </c>
      <c r="D24" s="488" t="s">
        <v>868</v>
      </c>
      <c r="E24" s="487"/>
    </row>
    <row r="25" spans="1:11" ht="14.25" customHeight="1" x14ac:dyDescent="0.25">
      <c r="B25" s="291">
        <v>2</v>
      </c>
      <c r="C25" s="486" t="s">
        <v>869</v>
      </c>
      <c r="D25" s="488" t="s">
        <v>868</v>
      </c>
      <c r="E25" s="487"/>
    </row>
    <row r="26" spans="1:11" ht="14.25" customHeight="1" x14ac:dyDescent="0.25">
      <c r="B26" s="291">
        <v>3</v>
      </c>
      <c r="C26" s="486" t="s">
        <v>4904</v>
      </c>
      <c r="D26" s="488" t="s">
        <v>868</v>
      </c>
      <c r="E26" s="487"/>
    </row>
    <row r="27" spans="1:11" ht="14.25" customHeight="1" x14ac:dyDescent="0.25">
      <c r="B27" s="291">
        <v>4</v>
      </c>
      <c r="C27" s="486" t="s">
        <v>870</v>
      </c>
      <c r="D27" s="488" t="s">
        <v>868</v>
      </c>
      <c r="E27" s="487"/>
    </row>
    <row r="28" spans="1:11" ht="14.25" customHeight="1" x14ac:dyDescent="0.25">
      <c r="B28" s="291">
        <v>5</v>
      </c>
      <c r="C28" s="486" t="s">
        <v>871</v>
      </c>
      <c r="D28" s="488" t="s">
        <v>868</v>
      </c>
      <c r="E28" s="487"/>
    </row>
    <row r="29" spans="1:11" ht="14.25" customHeight="1" x14ac:dyDescent="0.25">
      <c r="B29" s="291">
        <v>6</v>
      </c>
      <c r="C29" s="486" t="s">
        <v>872</v>
      </c>
      <c r="D29" s="488" t="s">
        <v>868</v>
      </c>
      <c r="E29" s="487"/>
    </row>
    <row r="30" spans="1:11" ht="14.25" customHeight="1" x14ac:dyDescent="0.25">
      <c r="B30" s="291">
        <v>7</v>
      </c>
      <c r="C30" s="486" t="s">
        <v>1149</v>
      </c>
      <c r="D30" s="488" t="s">
        <v>868</v>
      </c>
      <c r="E30" s="487"/>
    </row>
    <row r="31" spans="1:11" ht="14.25" customHeight="1" x14ac:dyDescent="0.25">
      <c r="B31" s="291">
        <v>8</v>
      </c>
      <c r="C31" s="486" t="s">
        <v>874</v>
      </c>
      <c r="D31" s="488" t="s">
        <v>868</v>
      </c>
      <c r="E31" s="487"/>
    </row>
    <row r="32" spans="1:11" ht="14.25" customHeight="1" x14ac:dyDescent="0.25">
      <c r="B32" s="291">
        <v>9</v>
      </c>
      <c r="C32" s="486" t="s">
        <v>873</v>
      </c>
      <c r="D32" s="488" t="s">
        <v>868</v>
      </c>
      <c r="E32" s="487"/>
    </row>
    <row r="33" spans="2:5" ht="14.25" customHeight="1" x14ac:dyDescent="0.25">
      <c r="B33" s="291">
        <v>10</v>
      </c>
      <c r="C33" s="486" t="s">
        <v>875</v>
      </c>
      <c r="D33" s="488" t="s">
        <v>868</v>
      </c>
      <c r="E33" s="487"/>
    </row>
    <row r="34" spans="2:5" ht="14.25" customHeight="1" x14ac:dyDescent="0.25">
      <c r="B34" s="291">
        <v>11</v>
      </c>
      <c r="C34" s="486" t="s">
        <v>876</v>
      </c>
      <c r="D34" s="488" t="s">
        <v>868</v>
      </c>
      <c r="E34" s="487"/>
    </row>
    <row r="35" spans="2:5" ht="14.25" customHeight="1" x14ac:dyDescent="0.25">
      <c r="B35" s="291">
        <v>12</v>
      </c>
      <c r="C35" s="486" t="s">
        <v>877</v>
      </c>
      <c r="D35" s="488" t="s">
        <v>868</v>
      </c>
      <c r="E35" s="487"/>
    </row>
    <row r="36" spans="2:5" ht="14.25" customHeight="1" x14ac:dyDescent="0.25">
      <c r="B36" s="291">
        <v>13</v>
      </c>
      <c r="C36" s="486" t="s">
        <v>878</v>
      </c>
      <c r="D36" s="488"/>
      <c r="E36" s="487" t="s">
        <v>868</v>
      </c>
    </row>
    <row r="37" spans="2:5" ht="14.25" customHeight="1" x14ac:dyDescent="0.25">
      <c r="B37" s="291">
        <v>14</v>
      </c>
      <c r="C37" s="486" t="s">
        <v>4905</v>
      </c>
      <c r="D37" s="488" t="s">
        <v>868</v>
      </c>
      <c r="E37" s="487"/>
    </row>
    <row r="38" spans="2:5" ht="14.25" customHeight="1" x14ac:dyDescent="0.25">
      <c r="B38" s="291">
        <v>15</v>
      </c>
      <c r="C38" s="486" t="s">
        <v>1146</v>
      </c>
      <c r="D38" s="488" t="s">
        <v>868</v>
      </c>
      <c r="E38" s="487"/>
    </row>
    <row r="39" spans="2:5" ht="14.25" customHeight="1" x14ac:dyDescent="0.25">
      <c r="B39" s="291">
        <v>16</v>
      </c>
      <c r="C39" s="486" t="s">
        <v>1147</v>
      </c>
      <c r="D39" s="488"/>
      <c r="E39" s="487" t="s">
        <v>868</v>
      </c>
    </row>
    <row r="40" spans="2:5" ht="14.25" customHeight="1" x14ac:dyDescent="0.25">
      <c r="B40" s="291">
        <v>17</v>
      </c>
      <c r="C40" s="486" t="s">
        <v>1195</v>
      </c>
      <c r="D40" s="488" t="s">
        <v>868</v>
      </c>
      <c r="E40" s="487"/>
    </row>
    <row r="41" spans="2:5" ht="14.25" customHeight="1" x14ac:dyDescent="0.25">
      <c r="B41" s="291">
        <v>18</v>
      </c>
      <c r="C41" s="486" t="s">
        <v>879</v>
      </c>
      <c r="D41" s="488" t="s">
        <v>868</v>
      </c>
      <c r="E41" s="487"/>
    </row>
    <row r="42" spans="2:5" ht="14.25" customHeight="1" x14ac:dyDescent="0.25">
      <c r="B42" s="291">
        <v>19</v>
      </c>
      <c r="C42" s="486" t="s">
        <v>887</v>
      </c>
      <c r="D42" s="488" t="s">
        <v>868</v>
      </c>
      <c r="E42" s="487"/>
    </row>
    <row r="43" spans="2:5" ht="14.25" customHeight="1" x14ac:dyDescent="0.25">
      <c r="B43" s="291">
        <v>20</v>
      </c>
      <c r="C43" s="486" t="s">
        <v>4906</v>
      </c>
      <c r="D43" s="488" t="s">
        <v>868</v>
      </c>
      <c r="E43" s="487"/>
    </row>
    <row r="44" spans="2:5" ht="14.25" customHeight="1" x14ac:dyDescent="0.25">
      <c r="B44" s="291">
        <v>21</v>
      </c>
      <c r="C44" s="486" t="s">
        <v>880</v>
      </c>
      <c r="D44" s="488"/>
      <c r="E44" s="487" t="s">
        <v>868</v>
      </c>
    </row>
    <row r="45" spans="2:5" ht="14.25" customHeight="1" x14ac:dyDescent="0.25">
      <c r="B45" s="291">
        <v>22</v>
      </c>
      <c r="C45" s="486" t="s">
        <v>4907</v>
      </c>
      <c r="D45" s="488" t="s">
        <v>868</v>
      </c>
      <c r="E45" s="487"/>
    </row>
    <row r="46" spans="2:5" ht="14.25" customHeight="1" x14ac:dyDescent="0.25">
      <c r="B46" s="291">
        <v>23</v>
      </c>
      <c r="C46" s="486" t="s">
        <v>4908</v>
      </c>
      <c r="D46" s="488" t="s">
        <v>868</v>
      </c>
      <c r="E46" s="487"/>
    </row>
    <row r="47" spans="2:5" ht="14.25" customHeight="1" x14ac:dyDescent="0.25">
      <c r="B47" s="291">
        <v>24</v>
      </c>
      <c r="C47" s="486" t="s">
        <v>1029</v>
      </c>
      <c r="D47" s="488" t="s">
        <v>868</v>
      </c>
      <c r="E47" s="487"/>
    </row>
    <row r="48" spans="2:5" ht="14.25" customHeight="1" x14ac:dyDescent="0.25">
      <c r="B48" s="291">
        <v>25</v>
      </c>
      <c r="C48" s="486" t="s">
        <v>4909</v>
      </c>
      <c r="D48" s="488" t="s">
        <v>868</v>
      </c>
      <c r="E48" s="487"/>
    </row>
    <row r="49" spans="1:5" ht="14.25" customHeight="1" x14ac:dyDescent="0.25">
      <c r="B49" s="291">
        <v>26</v>
      </c>
      <c r="C49" s="486" t="s">
        <v>881</v>
      </c>
      <c r="D49" s="488" t="s">
        <v>868</v>
      </c>
      <c r="E49" s="487"/>
    </row>
    <row r="50" spans="1:5" ht="14.25" customHeight="1" x14ac:dyDescent="0.25">
      <c r="B50" s="291">
        <v>27</v>
      </c>
      <c r="C50" s="486" t="s">
        <v>882</v>
      </c>
      <c r="D50" s="488" t="s">
        <v>868</v>
      </c>
      <c r="E50" s="487"/>
    </row>
    <row r="51" spans="1:5" ht="14.25" customHeight="1" x14ac:dyDescent="0.25">
      <c r="B51" s="291">
        <v>28</v>
      </c>
      <c r="C51" s="486" t="s">
        <v>883</v>
      </c>
      <c r="D51" s="488" t="s">
        <v>868</v>
      </c>
      <c r="E51" s="487"/>
    </row>
    <row r="52" spans="1:5" ht="14.25" customHeight="1" x14ac:dyDescent="0.25">
      <c r="B52" s="291">
        <v>29</v>
      </c>
      <c r="C52" s="486" t="s">
        <v>1144</v>
      </c>
      <c r="D52" s="488" t="s">
        <v>868</v>
      </c>
      <c r="E52" s="487"/>
    </row>
    <row r="53" spans="1:5" ht="14.25" customHeight="1" x14ac:dyDescent="0.25">
      <c r="B53" s="291">
        <v>30</v>
      </c>
      <c r="C53" s="486" t="s">
        <v>1143</v>
      </c>
      <c r="D53" s="488" t="s">
        <v>868</v>
      </c>
      <c r="E53" s="487"/>
    </row>
    <row r="54" spans="1:5" ht="14.25" customHeight="1" x14ac:dyDescent="0.25">
      <c r="B54" s="291">
        <v>31</v>
      </c>
      <c r="C54" s="486" t="s">
        <v>884</v>
      </c>
      <c r="D54" s="488"/>
      <c r="E54" s="487" t="s">
        <v>868</v>
      </c>
    </row>
    <row r="55" spans="1:5" ht="14.25" customHeight="1" x14ac:dyDescent="0.25">
      <c r="B55" s="291">
        <v>32</v>
      </c>
      <c r="C55" s="486" t="s">
        <v>885</v>
      </c>
      <c r="D55" s="488" t="s">
        <v>868</v>
      </c>
      <c r="E55" s="487"/>
    </row>
    <row r="56" spans="1:5" ht="14.25" customHeight="1" x14ac:dyDescent="0.25">
      <c r="B56" s="291">
        <v>33</v>
      </c>
      <c r="C56" s="486" t="s">
        <v>886</v>
      </c>
      <c r="D56" s="488" t="s">
        <v>868</v>
      </c>
      <c r="E56" s="487"/>
    </row>
    <row r="57" spans="1:5" x14ac:dyDescent="0.25">
      <c r="A57" s="217"/>
    </row>
    <row r="58" spans="1:5" x14ac:dyDescent="0.25">
      <c r="A58" s="217"/>
    </row>
    <row r="59" spans="1:5" ht="22.5" customHeight="1" x14ac:dyDescent="0.25">
      <c r="A59" s="217"/>
    </row>
    <row r="60" spans="1:5" ht="18" customHeight="1" x14ac:dyDescent="0.25">
      <c r="A60" s="217"/>
    </row>
    <row r="61" spans="1:5" x14ac:dyDescent="0.25">
      <c r="A61" s="217"/>
    </row>
    <row r="62" spans="1:5" x14ac:dyDescent="0.25">
      <c r="A62" s="217"/>
    </row>
    <row r="63" spans="1:5" x14ac:dyDescent="0.25">
      <c r="A63" s="217"/>
    </row>
    <row r="64" spans="1:5" x14ac:dyDescent="0.25">
      <c r="A64" s="217"/>
    </row>
  </sheetData>
  <sheetProtection algorithmName="SHA-512" hashValue="ZkuhvwnGeVeAQoNvPv/QVZ9lkW/a8pZm0bRF6nOvjmIsyuv1qziCvGELuZFMjhMO4cUpgp9kCzmzwkRz4DItCA==" saltValue="ypVwEdSgRsGVN6+l4RNilQ==" spinCount="100000" sheet="1" objects="1" scenarios="1"/>
  <mergeCells count="5">
    <mergeCell ref="A18:K18"/>
    <mergeCell ref="A16:K16"/>
    <mergeCell ref="B20:E20"/>
    <mergeCell ref="B21:E21"/>
    <mergeCell ref="D22:E22"/>
  </mergeCells>
  <hyperlinks>
    <hyperlink ref="B21:D21" r:id="rId1" display="(See QAP for details)" xr:uid="{00000000-0004-0000-0100-00000C000000}"/>
    <hyperlink ref="B21" r:id="rId2" display="(See Bond Guidelines for details)" xr:uid="{00000000-0004-0000-0100-00000B000000}"/>
    <hyperlink ref="B21:E21" r:id="rId3" display="See 2022-2023 QAP with 2023 Technical Amendments for Details " xr:uid="{38FB267B-6548-4B37-A3C6-E9902FABACC0}"/>
  </hyperlinks>
  <pageMargins left="0.7" right="0.7" top="0.75" bottom="0.75" header="0.3" footer="0.3"/>
  <pageSetup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39"/>
  <sheetViews>
    <sheetView zoomScale="85" zoomScaleNormal="85" workbookViewId="0">
      <selection activeCell="C11" sqref="C11"/>
    </sheetView>
  </sheetViews>
  <sheetFormatPr defaultColWidth="9" defaultRowHeight="14.25" customHeight="1" x14ac:dyDescent="0.25"/>
  <cols>
    <col min="1" max="1" width="9" style="5"/>
    <col min="2" max="2" width="22.5" style="5" bestFit="1" customWidth="1"/>
    <col min="3" max="3" width="16.5" style="48" customWidth="1"/>
    <col min="4" max="4" width="12" style="5" customWidth="1"/>
    <col min="5" max="5" width="17.5" style="5" customWidth="1"/>
    <col min="6" max="6" width="15.69921875" style="5" customWidth="1"/>
    <col min="7" max="7" width="9" style="5"/>
    <col min="8" max="8" width="15" style="5" customWidth="1"/>
    <col min="9" max="9" width="9" style="5"/>
    <col min="10" max="10" width="22.19921875" style="5" customWidth="1"/>
    <col min="11" max="16384" width="9" style="5"/>
  </cols>
  <sheetData>
    <row r="1" spans="1:10" ht="54.9" customHeight="1" x14ac:dyDescent="0.25"/>
    <row r="2" spans="1:10" s="1" customFormat="1" ht="23.4" x14ac:dyDescent="0.4">
      <c r="A2" s="366" t="s">
        <v>585</v>
      </c>
      <c r="C2" s="128"/>
    </row>
    <row r="3" spans="1:10" s="2" customFormat="1" ht="15" x14ac:dyDescent="0.25">
      <c r="A3" s="367" t="s">
        <v>1108</v>
      </c>
      <c r="C3" s="35">
        <f>'Project Details'!C7</f>
        <v>0</v>
      </c>
    </row>
    <row r="4" spans="1:10" ht="17.399999999999999" x14ac:dyDescent="0.3">
      <c r="A4" s="411" t="s">
        <v>844</v>
      </c>
      <c r="C4" s="78"/>
    </row>
    <row r="5" spans="1:10" ht="13.8" x14ac:dyDescent="0.25">
      <c r="C5" s="78"/>
    </row>
    <row r="6" spans="1:10" ht="14.25" customHeight="1" x14ac:dyDescent="0.3">
      <c r="A6" s="6" t="s">
        <v>5</v>
      </c>
    </row>
    <row r="7" spans="1:10" ht="14.25" customHeight="1" x14ac:dyDescent="0.25">
      <c r="B7" s="5" t="s">
        <v>6</v>
      </c>
      <c r="C7" s="706">
        <f>'Project Details'!C7</f>
        <v>0</v>
      </c>
      <c r="D7" s="706"/>
      <c r="E7" s="706"/>
      <c r="G7" s="34" t="s">
        <v>563</v>
      </c>
      <c r="H7" s="703" t="str">
        <f>'Project Details'!C21</f>
        <v>N/A</v>
      </c>
      <c r="I7" s="704"/>
      <c r="J7" s="705"/>
    </row>
    <row r="8" spans="1:10" ht="14.25" customHeight="1" x14ac:dyDescent="0.25">
      <c r="B8" s="5" t="s">
        <v>586</v>
      </c>
      <c r="C8" s="703">
        <f>'Project Details'!C6</f>
        <v>0</v>
      </c>
      <c r="D8" s="704"/>
      <c r="E8" s="705"/>
      <c r="G8" s="34" t="s">
        <v>562</v>
      </c>
      <c r="H8" s="703" t="str">
        <f>'Project Details'!C14</f>
        <v>Please input 2010 Census Tract</v>
      </c>
      <c r="I8" s="704"/>
      <c r="J8" s="705"/>
    </row>
    <row r="9" spans="1:10" ht="14.25" customHeight="1" x14ac:dyDescent="0.25">
      <c r="B9" s="5" t="s">
        <v>113</v>
      </c>
      <c r="C9" s="703">
        <f>'Project Details'!C9</f>
        <v>0</v>
      </c>
      <c r="D9" s="704"/>
      <c r="E9" s="705"/>
      <c r="G9" s="34" t="s">
        <v>564</v>
      </c>
      <c r="H9" s="703" t="str">
        <f>'Project Details'!C14</f>
        <v>Please input 2010 Census Tract</v>
      </c>
      <c r="I9" s="704"/>
      <c r="J9" s="705"/>
    </row>
    <row r="10" spans="1:10" ht="14.25" customHeight="1" x14ac:dyDescent="0.25">
      <c r="B10" s="5" t="s">
        <v>9</v>
      </c>
      <c r="C10" s="294" t="str">
        <f>'Project Details'!C12</f>
        <v>Input 2020 Census Tract</v>
      </c>
      <c r="G10" s="34" t="s">
        <v>569</v>
      </c>
      <c r="H10" s="703" t="str">
        <f>'Project Details'!C22</f>
        <v>N/A</v>
      </c>
      <c r="I10" s="704"/>
      <c r="J10" s="705"/>
    </row>
    <row r="11" spans="1:10" ht="14.25" customHeight="1" x14ac:dyDescent="0.25">
      <c r="B11" s="48" t="s">
        <v>594</v>
      </c>
      <c r="C11" s="135">
        <f>'Project Details'!C28</f>
        <v>0</v>
      </c>
      <c r="G11" s="34" t="s">
        <v>156</v>
      </c>
      <c r="H11" s="703">
        <f>'Project Details'!C26</f>
        <v>0</v>
      </c>
      <c r="I11" s="704"/>
      <c r="J11" s="705"/>
    </row>
    <row r="12" spans="1:10" ht="14.25" customHeight="1" x14ac:dyDescent="0.25">
      <c r="C12" s="5"/>
    </row>
    <row r="13" spans="1:10" ht="14.25" customHeight="1" x14ac:dyDescent="0.25">
      <c r="B13" s="5" t="s">
        <v>642</v>
      </c>
      <c r="C13" s="294">
        <f>'Project Details'!G11</f>
        <v>0</v>
      </c>
      <c r="G13" s="34" t="s">
        <v>1138</v>
      </c>
      <c r="H13" s="700">
        <f>'Development Team'!D58</f>
        <v>0</v>
      </c>
      <c r="I13" s="701"/>
      <c r="J13" s="702"/>
    </row>
    <row r="14" spans="1:10" ht="14.25" customHeight="1" x14ac:dyDescent="0.25">
      <c r="B14" s="5" t="s">
        <v>20</v>
      </c>
      <c r="C14" s="703" t="e">
        <f>VLOOKUP('Project Details'!G11,Data!$B$11:$C$3178,2,FALSE)</f>
        <v>#N/A</v>
      </c>
      <c r="D14" s="704"/>
      <c r="E14" s="705"/>
      <c r="G14" s="34" t="s">
        <v>587</v>
      </c>
      <c r="H14" s="700">
        <f>'Development Team'!D64</f>
        <v>0</v>
      </c>
      <c r="I14" s="701"/>
      <c r="J14" s="702"/>
    </row>
    <row r="15" spans="1:10" ht="14.25" customHeight="1" x14ac:dyDescent="0.25">
      <c r="B15" s="5" t="s">
        <v>15</v>
      </c>
      <c r="C15" s="295" t="str">
        <f>'Project Details'!G14</f>
        <v>Input 2020 Tract</v>
      </c>
      <c r="G15" s="34" t="s">
        <v>588</v>
      </c>
      <c r="H15" s="710">
        <f>'Development Team'!D68</f>
        <v>0</v>
      </c>
      <c r="I15" s="711"/>
      <c r="J15" s="712"/>
    </row>
    <row r="16" spans="1:10" ht="14.25" customHeight="1" x14ac:dyDescent="0.25">
      <c r="B16" s="5" t="s">
        <v>16</v>
      </c>
      <c r="C16" s="294" t="str">
        <f>'Project Details'!G15</f>
        <v>Input Zip Code</v>
      </c>
      <c r="G16" s="34" t="s">
        <v>912</v>
      </c>
      <c r="H16" s="707">
        <f>'Development Team'!D71</f>
        <v>0</v>
      </c>
      <c r="I16" s="708"/>
      <c r="J16" s="709"/>
    </row>
    <row r="17" spans="1:10" ht="14.25" customHeight="1" x14ac:dyDescent="0.25">
      <c r="B17" s="5" t="s">
        <v>17</v>
      </c>
      <c r="C17" s="294" t="str">
        <f>'Project Details'!C15</f>
        <v>Please input 2010 Census Tract</v>
      </c>
      <c r="G17" s="34" t="s">
        <v>913</v>
      </c>
      <c r="H17" s="700">
        <f>'Development Team'!D84</f>
        <v>0</v>
      </c>
      <c r="I17" s="701"/>
      <c r="J17" s="702"/>
    </row>
    <row r="18" spans="1:10" ht="14.25" customHeight="1" x14ac:dyDescent="0.25">
      <c r="B18" s="5" t="s">
        <v>18</v>
      </c>
      <c r="C18" s="294" t="str">
        <f>'Project Details'!C16</f>
        <v>Please input 2010 Census Tract</v>
      </c>
    </row>
    <row r="19" spans="1:10" ht="14.25" customHeight="1" x14ac:dyDescent="0.25">
      <c r="C19" s="5"/>
    </row>
    <row r="20" spans="1:10" ht="14.25" customHeight="1" x14ac:dyDescent="0.25">
      <c r="C20" s="5"/>
    </row>
    <row r="21" spans="1:10" ht="14.25" customHeight="1" x14ac:dyDescent="0.3">
      <c r="A21" s="6" t="s">
        <v>589</v>
      </c>
      <c r="C21" s="5"/>
    </row>
    <row r="22" spans="1:10" ht="14.25" customHeight="1" x14ac:dyDescent="0.25">
      <c r="B22" s="5" t="s">
        <v>590</v>
      </c>
      <c r="C22" s="227">
        <f>'Budget &amp; Costs'!C45</f>
        <v>0</v>
      </c>
    </row>
    <row r="23" spans="1:10" ht="14.25" customHeight="1" x14ac:dyDescent="0.25">
      <c r="B23" s="5" t="s">
        <v>1611</v>
      </c>
      <c r="C23" s="227">
        <f>'Budget &amp; Costs'!D50</f>
        <v>0</v>
      </c>
      <c r="G23" s="34" t="s">
        <v>1542</v>
      </c>
      <c r="H23" s="168">
        <f>IFERROR('Budget &amp; Costs'!E70,"Input needed")</f>
        <v>0</v>
      </c>
    </row>
    <row r="24" spans="1:10" ht="14.25" customHeight="1" x14ac:dyDescent="0.25">
      <c r="B24" s="5" t="s">
        <v>593</v>
      </c>
      <c r="C24" s="227">
        <f>'Budget &amp; Costs'!I58</f>
        <v>0</v>
      </c>
      <c r="D24" s="412" t="str">
        <f>IFERROR(C24/$C$22, "Input needed")</f>
        <v>Input needed</v>
      </c>
      <c r="G24" s="34" t="s">
        <v>1543</v>
      </c>
      <c r="H24" s="168">
        <f>IFERROR('Budget &amp; Costs'!E69,"Input needed")</f>
        <v>0</v>
      </c>
    </row>
    <row r="25" spans="1:10" ht="14.25" customHeight="1" x14ac:dyDescent="0.25">
      <c r="B25" s="5" t="s">
        <v>592</v>
      </c>
      <c r="C25" s="227">
        <f>'Project Details'!U173</f>
        <v>0</v>
      </c>
      <c r="D25" s="412" t="str">
        <f>IFERROR(C25/$C$22, "Input needed")</f>
        <v>Input needed</v>
      </c>
      <c r="G25" s="34" t="s">
        <v>1544</v>
      </c>
      <c r="H25" s="168">
        <f>IFERROR('Budget &amp; Costs'!E68,"Input needed")</f>
        <v>0</v>
      </c>
    </row>
    <row r="26" spans="1:10" ht="14.25" customHeight="1" x14ac:dyDescent="0.25">
      <c r="B26" s="5" t="s">
        <v>591</v>
      </c>
      <c r="C26" s="227">
        <f>'Project Details'!V173</f>
        <v>0</v>
      </c>
      <c r="D26" s="412" t="str">
        <f>IFERROR(C26/$C$22, "Input needed")</f>
        <v>Input needed</v>
      </c>
      <c r="G26" s="34" t="s">
        <v>1545</v>
      </c>
      <c r="H26" s="168">
        <f>IFERROR('Budget &amp; Costs'!E67,"Input needed")</f>
        <v>0</v>
      </c>
    </row>
    <row r="27" spans="1:10" ht="14.25" customHeight="1" x14ac:dyDescent="0.25">
      <c r="B27" s="5" t="s">
        <v>1598</v>
      </c>
      <c r="C27" s="227">
        <f>'Project Details'!E65</f>
        <v>0</v>
      </c>
      <c r="D27" s="412" t="str">
        <f>IFERROR(C27/$C$22, "Input needed")</f>
        <v>Input needed</v>
      </c>
      <c r="G27" s="34" t="s">
        <v>1546</v>
      </c>
      <c r="H27" s="168">
        <f>IFERROR('Budget &amp; Costs'!E66,"Input needed")</f>
        <v>0</v>
      </c>
    </row>
    <row r="28" spans="1:10" ht="14.25" customHeight="1" x14ac:dyDescent="0.25">
      <c r="C28" s="5"/>
      <c r="G28" s="34" t="s">
        <v>1547</v>
      </c>
      <c r="H28" s="168">
        <f>IFERROR('Budget &amp; Costs'!E65,"Input needed")</f>
        <v>0</v>
      </c>
      <c r="I28" s="260" t="s">
        <v>1549</v>
      </c>
    </row>
    <row r="29" spans="1:10" ht="14.25" customHeight="1" x14ac:dyDescent="0.3">
      <c r="A29" s="6" t="s">
        <v>325</v>
      </c>
      <c r="B29" s="5" t="s">
        <v>1656</v>
      </c>
      <c r="C29" s="391">
        <f>LIHTCs!C43</f>
        <v>0</v>
      </c>
      <c r="G29" s="34" t="s">
        <v>1548</v>
      </c>
      <c r="H29" s="168">
        <f>IFERROR('Budget &amp; Costs'!E64,"Input needed")</f>
        <v>0</v>
      </c>
      <c r="I29" s="260" t="s">
        <v>1549</v>
      </c>
    </row>
    <row r="30" spans="1:10" ht="14.25" customHeight="1" x14ac:dyDescent="0.25">
      <c r="B30" s="5" t="s">
        <v>596</v>
      </c>
      <c r="C30" s="391">
        <f>'Multifamily Bonds'!D14+'Multifamily Bonds'!D15+'Multifamily Bonds'!D16+'Multifamily Bonds'!D17</f>
        <v>0</v>
      </c>
    </row>
    <row r="31" spans="1:10" ht="14.25" customHeight="1" x14ac:dyDescent="0.25">
      <c r="B31" s="5" t="s">
        <v>595</v>
      </c>
      <c r="C31" s="413">
        <f>'HDL+Wage Rates+MLP'!D8</f>
        <v>0</v>
      </c>
    </row>
    <row r="32" spans="1:10" ht="14.25" customHeight="1" x14ac:dyDescent="0.25">
      <c r="B32" s="5" t="s">
        <v>597</v>
      </c>
      <c r="C32" s="413">
        <f>'HDL+Wage Rates+MLP'!D31</f>
        <v>0</v>
      </c>
      <c r="G32" s="34" t="s">
        <v>326</v>
      </c>
      <c r="H32" s="169">
        <f>'Budget &amp; Costs'!F130</f>
        <v>0</v>
      </c>
    </row>
    <row r="33" spans="1:8" ht="14.25" customHeight="1" x14ac:dyDescent="0.25">
      <c r="G33" s="34" t="s">
        <v>327</v>
      </c>
      <c r="H33" s="169">
        <f>'Budget &amp; Costs'!F139</f>
        <v>0</v>
      </c>
    </row>
    <row r="34" spans="1:8" ht="14.25" customHeight="1" x14ac:dyDescent="0.25">
      <c r="G34" s="34" t="s">
        <v>328</v>
      </c>
      <c r="H34" s="169">
        <f>'Budget &amp; Costs'!F158</f>
        <v>0</v>
      </c>
    </row>
    <row r="35" spans="1:8" ht="14.25" customHeight="1" x14ac:dyDescent="0.3">
      <c r="A35" s="6" t="s">
        <v>583</v>
      </c>
      <c r="B35" s="48" t="s">
        <v>1657</v>
      </c>
      <c r="C35" s="414" t="str">
        <f>IF(AND('Project Details'!C19="9% Competitive",'Project Details'!G19="Proposal"),5000,IF(AND('Project Details'!C19="Bond Gap Financing",'Project Details'!G19="Proposal"),2500,IF(AND('Project Details'!C19="4% HTC only"),3500,IF(AND('Project Details'!C19="FHAct50"),5000,""))))</f>
        <v/>
      </c>
      <c r="G35" s="34" t="s">
        <v>329</v>
      </c>
      <c r="H35" s="169">
        <f>'Budget &amp; Costs'!F170</f>
        <v>0</v>
      </c>
    </row>
    <row r="36" spans="1:8" ht="14.25" customHeight="1" x14ac:dyDescent="0.25">
      <c r="B36" s="48" t="s">
        <v>1658</v>
      </c>
      <c r="C36" s="414">
        <f>LIHTCs!C43*0.06</f>
        <v>0</v>
      </c>
      <c r="D36" s="260" t="s">
        <v>584</v>
      </c>
      <c r="G36" s="34" t="s">
        <v>330</v>
      </c>
      <c r="H36" s="169">
        <f>'Budget &amp; Costs'!F176</f>
        <v>0</v>
      </c>
    </row>
    <row r="37" spans="1:8" ht="14.25" customHeight="1" x14ac:dyDescent="0.3">
      <c r="A37" s="6"/>
      <c r="B37" s="48" t="s">
        <v>1659</v>
      </c>
      <c r="C37" s="414">
        <f>'Budget &amp; Costs'!D50*2400</f>
        <v>0</v>
      </c>
      <c r="D37" s="260" t="s">
        <v>584</v>
      </c>
      <c r="G37" s="34" t="s">
        <v>323</v>
      </c>
      <c r="H37" s="169">
        <f>'Budget &amp; Costs'!F178</f>
        <v>0</v>
      </c>
    </row>
    <row r="38" spans="1:8" ht="14.25" customHeight="1" x14ac:dyDescent="0.3">
      <c r="A38" s="6"/>
      <c r="D38" s="260"/>
      <c r="G38" s="34" t="s">
        <v>260</v>
      </c>
      <c r="H38" s="169">
        <f>'Budget &amp; Costs'!F111</f>
        <v>0</v>
      </c>
    </row>
    <row r="39" spans="1:8" ht="14.25" customHeight="1" x14ac:dyDescent="0.25">
      <c r="G39" s="34" t="s">
        <v>331</v>
      </c>
      <c r="H39" s="169">
        <f>'Budget &amp; Costs'!F180</f>
        <v>0</v>
      </c>
    </row>
  </sheetData>
  <sheetProtection algorithmName="SHA-512" hashValue="O3prewyiXbMw3q/oIyI+X/KtjJkBkpg/fhRxjmWyFP2DBbEoDlrxXnUIdQKSJy8gA5Mw+dsnJsuSjz0TOicdJg==" saltValue="PPcpuhd4B18BLttR1zO0cQ==" spinCount="100000" sheet="1" objects="1" scenarios="1"/>
  <mergeCells count="14">
    <mergeCell ref="H14:J14"/>
    <mergeCell ref="H10:J10"/>
    <mergeCell ref="C7:E7"/>
    <mergeCell ref="H8:J8"/>
    <mergeCell ref="H17:J17"/>
    <mergeCell ref="C14:E14"/>
    <mergeCell ref="C9:E9"/>
    <mergeCell ref="C8:E8"/>
    <mergeCell ref="H7:J7"/>
    <mergeCell ref="H9:J9"/>
    <mergeCell ref="H11:J11"/>
    <mergeCell ref="H16:J16"/>
    <mergeCell ref="H15:J15"/>
    <mergeCell ref="H13:J13"/>
  </mergeCells>
  <pageMargins left="0.7" right="0.7" top="0.75" bottom="0.75" header="0.3" footer="0.3"/>
  <pageSetup scale="49" orientation="portrait" r:id="rId1"/>
  <ignoredErrors>
    <ignoredError sqref="H7" unlockedFormula="1"/>
    <ignoredError sqref="C15:C17" evalError="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W269"/>
  <sheetViews>
    <sheetView showGridLines="0" zoomScaleNormal="100" zoomScaleSheetLayoutView="85" workbookViewId="0">
      <selection activeCell="F261" sqref="F261"/>
    </sheetView>
  </sheetViews>
  <sheetFormatPr defaultColWidth="9" defaultRowHeight="13.8" x14ac:dyDescent="0.25"/>
  <cols>
    <col min="1" max="1" width="9.59765625" style="5" customWidth="1"/>
    <col min="2" max="2" width="41.3984375" style="5" customWidth="1"/>
    <col min="3" max="3" width="28" style="5" customWidth="1"/>
    <col min="4" max="4" width="15.5" style="5" customWidth="1"/>
    <col min="5" max="5" width="17" style="5" customWidth="1"/>
    <col min="6" max="6" width="19.3984375" style="5" customWidth="1"/>
    <col min="7" max="7" width="17.19921875" style="5" customWidth="1"/>
    <col min="8" max="8" width="16.19921875" style="5" customWidth="1"/>
    <col min="9" max="9" width="10.5" style="5" customWidth="1"/>
    <col min="10" max="10" width="12.8984375" style="5" customWidth="1"/>
    <col min="11" max="12" width="20.59765625" style="5" customWidth="1"/>
    <col min="13" max="13" width="27" style="5" customWidth="1"/>
    <col min="14" max="14" width="19.09765625" style="5" customWidth="1"/>
    <col min="15" max="15" width="18.5" style="5" customWidth="1"/>
    <col min="16" max="16" width="14" style="5" bestFit="1" customWidth="1"/>
    <col min="17" max="17" width="14.69921875" style="5" customWidth="1"/>
    <col min="18" max="22" width="9" style="5"/>
    <col min="23" max="23" width="9" style="138" customWidth="1"/>
    <col min="24" max="16384" width="9" style="138"/>
  </cols>
  <sheetData>
    <row r="1" spans="1:22" ht="54.9" customHeight="1" x14ac:dyDescent="0.25"/>
    <row r="2" spans="1:22" s="139" customFormat="1" ht="23.4" x14ac:dyDescent="0.4">
      <c r="A2" s="366" t="s">
        <v>155</v>
      </c>
      <c r="B2" s="1"/>
      <c r="C2" s="1"/>
      <c r="D2" s="1"/>
      <c r="E2" s="1"/>
      <c r="F2" s="1"/>
      <c r="G2" s="1"/>
      <c r="H2" s="1"/>
      <c r="I2" s="1"/>
      <c r="J2" s="1"/>
      <c r="K2" s="1"/>
      <c r="L2" s="1"/>
      <c r="M2" s="1"/>
      <c r="N2" s="1"/>
      <c r="O2" s="1"/>
      <c r="P2" s="1"/>
      <c r="Q2" s="1"/>
      <c r="R2" s="1"/>
      <c r="S2" s="1"/>
      <c r="T2" s="1"/>
      <c r="U2" s="1"/>
      <c r="V2" s="1"/>
    </row>
    <row r="3" spans="1:22" s="140" customFormat="1" ht="15" x14ac:dyDescent="0.25">
      <c r="A3" s="367" t="s">
        <v>1108</v>
      </c>
      <c r="B3" s="35">
        <f>'Project Details'!C7</f>
        <v>0</v>
      </c>
      <c r="C3" s="35"/>
      <c r="D3" s="2"/>
      <c r="E3" s="2"/>
      <c r="F3" s="2"/>
      <c r="G3" s="2"/>
      <c r="H3" s="2"/>
      <c r="I3" s="2"/>
      <c r="J3" s="2"/>
      <c r="K3" s="2"/>
      <c r="L3" s="2"/>
      <c r="M3" s="2"/>
      <c r="N3" s="2"/>
      <c r="O3" s="2"/>
      <c r="P3" s="2"/>
      <c r="Q3" s="2"/>
      <c r="R3" s="2"/>
      <c r="S3" s="2"/>
      <c r="T3" s="2"/>
      <c r="U3" s="2"/>
      <c r="V3" s="2"/>
    </row>
    <row r="4" spans="1:22" ht="15" x14ac:dyDescent="0.25">
      <c r="A4" s="25"/>
    </row>
    <row r="5" spans="1:22" ht="17.399999999999999" x14ac:dyDescent="0.3">
      <c r="A5" s="80" t="s">
        <v>237</v>
      </c>
    </row>
    <row r="6" spans="1:22" ht="14.25" customHeight="1" x14ac:dyDescent="0.3">
      <c r="A6" s="6"/>
      <c r="B6" s="48" t="s">
        <v>4878</v>
      </c>
      <c r="C6" s="49"/>
      <c r="E6" s="727" t="s">
        <v>10</v>
      </c>
      <c r="F6" s="728"/>
      <c r="G6" s="199"/>
      <c r="J6" s="138"/>
      <c r="K6" s="138"/>
    </row>
    <row r="7" spans="1:22" ht="14.25" customHeight="1" x14ac:dyDescent="0.3">
      <c r="A7" s="6"/>
      <c r="B7" s="48" t="s">
        <v>6</v>
      </c>
      <c r="C7" s="110"/>
      <c r="E7" s="727" t="s">
        <v>11</v>
      </c>
      <c r="F7" s="728"/>
      <c r="G7" s="199"/>
      <c r="J7" s="138"/>
      <c r="K7" s="138"/>
    </row>
    <row r="8" spans="1:22" ht="14.25" customHeight="1" x14ac:dyDescent="0.3">
      <c r="A8" s="6"/>
      <c r="B8" s="48" t="s">
        <v>112</v>
      </c>
      <c r="C8" s="110"/>
      <c r="E8" s="727" t="s">
        <v>12</v>
      </c>
      <c r="F8" s="728"/>
      <c r="G8" s="110"/>
      <c r="J8" s="138"/>
      <c r="K8" s="138"/>
    </row>
    <row r="9" spans="1:22" ht="14.25" customHeight="1" x14ac:dyDescent="0.3">
      <c r="A9" s="6"/>
      <c r="B9" s="48" t="s">
        <v>7</v>
      </c>
      <c r="C9" s="110"/>
      <c r="E9" s="727" t="s">
        <v>13</v>
      </c>
      <c r="F9" s="728"/>
      <c r="G9" s="110"/>
      <c r="J9" s="138"/>
      <c r="K9" s="138"/>
    </row>
    <row r="10" spans="1:22" ht="14.25" customHeight="1" x14ac:dyDescent="0.3">
      <c r="A10" s="6"/>
      <c r="B10" s="368" t="s">
        <v>992</v>
      </c>
      <c r="C10" s="668"/>
      <c r="E10" s="727" t="s">
        <v>14</v>
      </c>
      <c r="F10" s="728"/>
      <c r="G10" s="110"/>
      <c r="J10" s="138"/>
      <c r="K10" s="138"/>
    </row>
    <row r="11" spans="1:22" ht="14.25" customHeight="1" x14ac:dyDescent="0.3">
      <c r="A11" s="6"/>
      <c r="B11" s="368" t="s">
        <v>991</v>
      </c>
      <c r="C11" s="110"/>
      <c r="E11" s="727" t="s">
        <v>4881</v>
      </c>
      <c r="F11" s="728"/>
      <c r="G11" s="110"/>
      <c r="J11" s="138"/>
      <c r="K11" s="138"/>
    </row>
    <row r="12" spans="1:22" ht="14.25" customHeight="1" x14ac:dyDescent="0.3">
      <c r="A12" s="6"/>
      <c r="B12" s="48" t="s">
        <v>9</v>
      </c>
      <c r="C12" s="620" t="str">
        <f>IFERROR(VLOOKUP(G11,Data!$B$11:$D$3178,3,FALSE),"Input 2020 Census Tract")</f>
        <v>Input 2020 Census Tract</v>
      </c>
      <c r="E12" s="727" t="s">
        <v>4882</v>
      </c>
      <c r="F12" s="728"/>
      <c r="G12" s="110"/>
      <c r="J12" s="138"/>
      <c r="K12" s="138"/>
    </row>
    <row r="13" spans="1:22" ht="14.25" customHeight="1" x14ac:dyDescent="0.3">
      <c r="A13" s="6"/>
      <c r="B13" s="138"/>
      <c r="C13" s="138"/>
      <c r="E13" s="138"/>
      <c r="F13" s="138"/>
    </row>
    <row r="14" spans="1:22" ht="14.25" customHeight="1" x14ac:dyDescent="0.3">
      <c r="A14" s="6"/>
      <c r="B14" s="447" t="s">
        <v>1589</v>
      </c>
      <c r="C14" s="620" t="str">
        <f>IFERROR(VLOOKUP($G$12,Data!$AB$11:$AF$2956,5,FALSE),"Please input 2010 Census Tract")</f>
        <v>Please input 2010 Census Tract</v>
      </c>
      <c r="E14" s="729" t="s">
        <v>7901</v>
      </c>
      <c r="F14" s="730"/>
      <c r="G14" s="294" t="str">
        <f>IFERROR(VLOOKUP(G11,Data!$B$11:$F$3178,5,FALSE),"Input 2020 Tract")</f>
        <v>Input 2020 Tract</v>
      </c>
      <c r="H14" s="458"/>
      <c r="I14" s="458"/>
    </row>
    <row r="15" spans="1:22" ht="14.25" customHeight="1" x14ac:dyDescent="0.3">
      <c r="A15" s="6"/>
      <c r="B15" s="48" t="s">
        <v>21</v>
      </c>
      <c r="C15" s="620" t="str">
        <f>IFERROR(VLOOKUP($G$12,Data!$AB$11:$AF$2956,3,FALSE),"Please input 2010 Census Tract")</f>
        <v>Please input 2010 Census Tract</v>
      </c>
      <c r="E15" s="729" t="s">
        <v>7902</v>
      </c>
      <c r="F15" s="730"/>
      <c r="G15" s="294" t="str">
        <f>IF(C10="","Input Zip Code",IFERROR(VLOOKUP(C10,Data!$H$11:$J$867,3,FALSE),"No"))</f>
        <v>Input Zip Code</v>
      </c>
      <c r="H15" s="458"/>
      <c r="I15" s="458"/>
    </row>
    <row r="16" spans="1:22" ht="14.25" customHeight="1" x14ac:dyDescent="0.3">
      <c r="A16" s="6"/>
      <c r="B16" s="48" t="s">
        <v>22</v>
      </c>
      <c r="C16" s="620" t="str">
        <f>IFERROR(VLOOKUP($G$12,Data!$AB$11:$AF$2956,4,FALSE),"Please input 2010 Census Tract")</f>
        <v>Please input 2010 Census Tract</v>
      </c>
      <c r="E16" s="729" t="s">
        <v>4880</v>
      </c>
      <c r="F16" s="730"/>
      <c r="G16" s="459"/>
      <c r="H16" s="458"/>
      <c r="I16" s="458"/>
    </row>
    <row r="17" spans="1:9" ht="14.25" customHeight="1" x14ac:dyDescent="0.3">
      <c r="A17" s="6"/>
      <c r="B17" s="138"/>
      <c r="C17" s="138"/>
      <c r="D17" s="8"/>
      <c r="E17" s="138"/>
      <c r="F17" s="138"/>
      <c r="G17" s="138"/>
      <c r="H17" s="458"/>
      <c r="I17" s="458"/>
    </row>
    <row r="18" spans="1:9" ht="14.25" customHeight="1" x14ac:dyDescent="0.3">
      <c r="A18" s="80" t="s">
        <v>580</v>
      </c>
      <c r="B18" s="138"/>
      <c r="C18" s="138"/>
      <c r="D18" s="8"/>
      <c r="E18" s="34"/>
    </row>
    <row r="19" spans="1:9" ht="14.25" customHeight="1" x14ac:dyDescent="0.3">
      <c r="A19" s="80"/>
      <c r="B19" s="138" t="s">
        <v>1387</v>
      </c>
      <c r="C19" s="569" t="s">
        <v>1669</v>
      </c>
      <c r="D19" s="138"/>
      <c r="E19" s="48" t="str">
        <f>IF(OR(C19="9% Competitive",C19="Bond Gap Financing"),"Proposal or Final Application?","")</f>
        <v/>
      </c>
      <c r="F19" s="138"/>
      <c r="G19" s="494"/>
    </row>
    <row r="20" spans="1:9" ht="14.25" customHeight="1" x14ac:dyDescent="0.3">
      <c r="A20" s="80"/>
      <c r="B20" s="48" t="s">
        <v>1651</v>
      </c>
      <c r="C20" s="590" t="s">
        <v>1670</v>
      </c>
      <c r="D20" s="8"/>
      <c r="E20" s="34"/>
    </row>
    <row r="21" spans="1:9" ht="14.25" customHeight="1" x14ac:dyDescent="0.3">
      <c r="A21" s="80"/>
      <c r="B21" s="48" t="s">
        <v>1671</v>
      </c>
      <c r="C21" s="713" t="s">
        <v>1672</v>
      </c>
      <c r="D21" s="714"/>
      <c r="E21"/>
    </row>
    <row r="22" spans="1:9" ht="14.25" customHeight="1" x14ac:dyDescent="0.3">
      <c r="A22" s="80"/>
      <c r="B22" s="48" t="s">
        <v>569</v>
      </c>
      <c r="C22" s="715" t="s">
        <v>1672</v>
      </c>
      <c r="D22" s="716"/>
      <c r="E22" s="717"/>
      <c r="F22" s="718" t="str">
        <f>IFERROR(IF(AND(#REF!="General Occupancy: Revitalization Area",G14="No"),"Must be in QCT to Qualify for Set Aside",(IF(AND(#REF!="Permanent Supportive Housing: Transition Aged Youth ",C12="Franklin"),"TAY cannot be in Franklin County in 2019",""))),"")</f>
        <v/>
      </c>
      <c r="G22" s="718"/>
      <c r="H22" s="718"/>
      <c r="I22" s="138"/>
    </row>
    <row r="23" spans="1:9" ht="14.25" customHeight="1" x14ac:dyDescent="0.25">
      <c r="A23" s="138"/>
      <c r="B23" s="138"/>
      <c r="C23" s="138"/>
    </row>
    <row r="24" spans="1:9" ht="14.25" customHeight="1" x14ac:dyDescent="0.3">
      <c r="A24" s="80" t="s">
        <v>1388</v>
      </c>
      <c r="B24" s="138"/>
      <c r="C24" s="138"/>
    </row>
    <row r="25" spans="1:9" ht="14.25" customHeight="1" x14ac:dyDescent="0.3">
      <c r="A25" s="80"/>
      <c r="B25" s="48" t="s">
        <v>1410</v>
      </c>
      <c r="C25" s="89"/>
      <c r="E25" s="293" t="s">
        <v>1652</v>
      </c>
      <c r="F25" s="138"/>
      <c r="G25" s="138"/>
    </row>
    <row r="26" spans="1:9" ht="14.25" customHeight="1" x14ac:dyDescent="0.3">
      <c r="A26" s="80"/>
      <c r="B26" s="48" t="s">
        <v>1599</v>
      </c>
      <c r="C26" s="89"/>
      <c r="E26" s="481" t="s">
        <v>169</v>
      </c>
      <c r="F26" s="138"/>
      <c r="G26" s="89"/>
    </row>
    <row r="27" spans="1:9" ht="14.25" customHeight="1" x14ac:dyDescent="0.3">
      <c r="A27" s="80"/>
      <c r="B27" s="48" t="s">
        <v>1383</v>
      </c>
      <c r="C27" s="369"/>
      <c r="D27" s="138"/>
      <c r="E27" s="482" t="s">
        <v>1434</v>
      </c>
      <c r="F27" s="138"/>
      <c r="G27" s="89"/>
    </row>
    <row r="28" spans="1:9" ht="14.25" customHeight="1" x14ac:dyDescent="0.3">
      <c r="A28" s="80"/>
      <c r="B28" s="48" t="s">
        <v>1384</v>
      </c>
      <c r="C28" s="369"/>
      <c r="D28" s="138"/>
      <c r="E28" s="482" t="s">
        <v>1435</v>
      </c>
      <c r="F28" s="138"/>
      <c r="G28" s="89"/>
    </row>
    <row r="29" spans="1:9" ht="14.25" customHeight="1" x14ac:dyDescent="0.3">
      <c r="A29" s="80"/>
      <c r="B29" s="48" t="s">
        <v>1385</v>
      </c>
      <c r="C29" s="446"/>
      <c r="D29" s="138"/>
      <c r="E29" s="48" t="s">
        <v>892</v>
      </c>
      <c r="F29" s="138"/>
      <c r="G29" s="89"/>
    </row>
    <row r="30" spans="1:9" ht="14.25" customHeight="1" x14ac:dyDescent="0.3">
      <c r="A30" s="80"/>
      <c r="B30" s="48" t="s">
        <v>1107</v>
      </c>
      <c r="C30" s="89"/>
      <c r="D30" s="138"/>
      <c r="E30" s="48" t="s">
        <v>1004</v>
      </c>
      <c r="F30" s="138"/>
      <c r="G30" s="110"/>
    </row>
    <row r="31" spans="1:9" ht="14.25" customHeight="1" x14ac:dyDescent="0.3">
      <c r="A31" s="80"/>
      <c r="B31" s="138"/>
      <c r="C31" s="138"/>
      <c r="D31" s="138"/>
      <c r="E31" s="48" t="s">
        <v>1386</v>
      </c>
      <c r="F31" s="138"/>
      <c r="G31" s="89"/>
    </row>
    <row r="32" spans="1:9" ht="14.25" customHeight="1" x14ac:dyDescent="0.3">
      <c r="A32" s="80"/>
      <c r="B32" s="138"/>
      <c r="C32" s="138"/>
      <c r="D32" s="138"/>
      <c r="E32" s="138"/>
      <c r="F32" s="138"/>
      <c r="G32" s="138"/>
    </row>
    <row r="33" spans="1:9" ht="17.399999999999999" x14ac:dyDescent="0.3">
      <c r="A33" s="80" t="s">
        <v>554</v>
      </c>
    </row>
    <row r="34" spans="1:9" x14ac:dyDescent="0.25">
      <c r="A34" s="44"/>
      <c r="B34" s="48" t="s">
        <v>1026</v>
      </c>
      <c r="C34" s="122"/>
      <c r="D34" s="44"/>
      <c r="E34" s="48" t="str">
        <f>IF(C34="Yes","Year HDAP Awarded","")</f>
        <v/>
      </c>
      <c r="F34" s="138"/>
      <c r="G34" s="125"/>
      <c r="H34" s="44"/>
      <c r="I34" s="44"/>
    </row>
    <row r="35" spans="1:9" x14ac:dyDescent="0.25">
      <c r="A35" s="44"/>
      <c r="B35" s="48" t="s">
        <v>1653</v>
      </c>
      <c r="C35" s="122"/>
      <c r="D35" s="44"/>
      <c r="E35" s="48" t="str">
        <f>IF(C35="Yes","Year Applied for HTC","")</f>
        <v/>
      </c>
      <c r="F35" s="138"/>
      <c r="G35" s="125"/>
      <c r="H35" s="44"/>
      <c r="I35" s="44"/>
    </row>
    <row r="36" spans="1:9" x14ac:dyDescent="0.25">
      <c r="A36" s="44"/>
      <c r="B36" s="48" t="s">
        <v>1654</v>
      </c>
      <c r="C36" s="122"/>
      <c r="D36" s="44"/>
      <c r="E36" s="5" t="str">
        <f>IF(C38="Yes","LIHTC Allocation Year","")</f>
        <v/>
      </c>
      <c r="F36" s="138"/>
      <c r="G36" s="125"/>
      <c r="H36" s="44"/>
      <c r="I36" s="44"/>
    </row>
    <row r="37" spans="1:9" x14ac:dyDescent="0.25">
      <c r="A37" s="44"/>
      <c r="B37" s="48" t="s">
        <v>1043</v>
      </c>
      <c r="C37" s="124"/>
      <c r="D37" s="44"/>
      <c r="E37" s="5" t="str">
        <f>IF(C38="Yes","BIN#(s)","")</f>
        <v/>
      </c>
      <c r="F37" s="138"/>
      <c r="G37" s="126"/>
      <c r="H37" s="44"/>
      <c r="I37" s="44"/>
    </row>
    <row r="38" spans="1:9" x14ac:dyDescent="0.25">
      <c r="A38" s="44"/>
      <c r="B38" s="48" t="s">
        <v>1655</v>
      </c>
      <c r="C38" s="122"/>
      <c r="D38" s="448"/>
      <c r="E38" s="5" t="str">
        <f>IF(C38="Yes","PIS Date","")</f>
        <v/>
      </c>
      <c r="F38" s="138"/>
      <c r="G38" s="125"/>
      <c r="H38" s="44"/>
      <c r="I38" s="44"/>
    </row>
    <row r="39" spans="1:9" x14ac:dyDescent="0.25">
      <c r="A39" s="44"/>
      <c r="B39" s="138" t="s">
        <v>1594</v>
      </c>
      <c r="C39" s="119"/>
      <c r="D39" s="44"/>
      <c r="E39" s="5" t="str">
        <f>IF(C38="Yes","Prior Owner","")</f>
        <v/>
      </c>
      <c r="F39" s="138"/>
      <c r="G39" s="127"/>
      <c r="H39" s="44"/>
      <c r="I39" s="44"/>
    </row>
    <row r="40" spans="1:9" x14ac:dyDescent="0.25">
      <c r="B40" s="138" t="s">
        <v>1593</v>
      </c>
      <c r="E40" s="5" t="str">
        <f>IF(C38="Yes","Prior Manager","")</f>
        <v/>
      </c>
      <c r="F40" s="138"/>
      <c r="G40" s="125"/>
    </row>
    <row r="41" spans="1:9" x14ac:dyDescent="0.25">
      <c r="B41" s="138"/>
      <c r="C41" s="138"/>
      <c r="E41" s="5" t="str">
        <f>IF(C38="Yes","Previous Acquisition Basis","")</f>
        <v/>
      </c>
      <c r="F41" s="138"/>
      <c r="G41" s="580"/>
    </row>
    <row r="42" spans="1:9" x14ac:dyDescent="0.25">
      <c r="B42" s="138"/>
      <c r="C42" s="138"/>
      <c r="E42" s="5" t="str">
        <f>IF(C38="Yes","Previous Rehabilitation Basis","")</f>
        <v/>
      </c>
      <c r="F42" s="138"/>
      <c r="G42" s="580"/>
    </row>
    <row r="43" spans="1:9" x14ac:dyDescent="0.25">
      <c r="B43" s="138"/>
      <c r="C43" s="138"/>
      <c r="E43" s="5" t="str">
        <f>IF(C38="Yes","Previous New Construction Basis","")</f>
        <v/>
      </c>
      <c r="F43" s="138"/>
      <c r="G43" s="580"/>
    </row>
    <row r="44" spans="1:9" x14ac:dyDescent="0.25">
      <c r="B44" s="138"/>
      <c r="C44" s="138"/>
    </row>
    <row r="45" spans="1:9" ht="17.25" customHeight="1" x14ac:dyDescent="0.3">
      <c r="A45" s="370" t="s">
        <v>1389</v>
      </c>
      <c r="B45" s="203"/>
      <c r="C45" s="203"/>
      <c r="D45" s="203"/>
      <c r="E45" s="203"/>
      <c r="F45" s="203"/>
      <c r="G45" s="203"/>
      <c r="H45" s="204"/>
    </row>
    <row r="46" spans="1:9" x14ac:dyDescent="0.25">
      <c r="A46" s="371" t="s">
        <v>1150</v>
      </c>
      <c r="B46" s="131"/>
      <c r="C46" s="131"/>
      <c r="D46" s="131"/>
      <c r="E46" s="131"/>
      <c r="F46" s="131"/>
      <c r="G46" s="131"/>
      <c r="H46" s="206"/>
    </row>
    <row r="47" spans="1:9" x14ac:dyDescent="0.25">
      <c r="A47" s="205" t="s">
        <v>1592</v>
      </c>
      <c r="B47" s="131"/>
      <c r="C47" s="131"/>
      <c r="D47" s="131"/>
      <c r="E47" s="131"/>
      <c r="F47" s="131"/>
      <c r="G47" s="131"/>
      <c r="H47" s="206"/>
    </row>
    <row r="48" spans="1:9" x14ac:dyDescent="0.25">
      <c r="A48" s="205"/>
      <c r="B48" s="131"/>
      <c r="C48" s="131"/>
      <c r="D48" s="131"/>
      <c r="E48" s="131"/>
      <c r="F48" s="131"/>
      <c r="G48" s="131"/>
      <c r="H48" s="206"/>
    </row>
    <row r="49" spans="1:8" x14ac:dyDescent="0.25">
      <c r="A49" s="205"/>
      <c r="B49" s="131" t="s">
        <v>1411</v>
      </c>
      <c r="C49" s="89"/>
      <c r="D49" s="131" t="s">
        <v>1412</v>
      </c>
      <c r="E49" s="131"/>
      <c r="F49" s="131"/>
      <c r="G49" s="118"/>
      <c r="H49" s="206"/>
    </row>
    <row r="50" spans="1:8" ht="14.25" customHeight="1" x14ac:dyDescent="0.3">
      <c r="A50" s="207"/>
      <c r="B50" s="460" t="s">
        <v>1413</v>
      </c>
      <c r="C50" s="460"/>
      <c r="D50" s="372"/>
      <c r="E50" s="131"/>
      <c r="F50" s="131"/>
      <c r="G50" s="89"/>
      <c r="H50" s="206"/>
    </row>
    <row r="51" spans="1:8" ht="14.4" x14ac:dyDescent="0.3">
      <c r="A51" s="207"/>
      <c r="B51" s="461" t="s">
        <v>1414</v>
      </c>
      <c r="C51" s="462"/>
      <c r="D51" s="372"/>
      <c r="E51" s="131"/>
      <c r="F51" s="131"/>
      <c r="G51" s="131"/>
      <c r="H51" s="206"/>
    </row>
    <row r="52" spans="1:8" x14ac:dyDescent="0.25">
      <c r="A52" s="207"/>
      <c r="B52" s="133" t="s">
        <v>1256</v>
      </c>
      <c r="C52" s="89"/>
      <c r="D52" s="131"/>
      <c r="E52" s="131"/>
      <c r="F52" s="131"/>
      <c r="G52" s="131"/>
      <c r="H52" s="206"/>
    </row>
    <row r="53" spans="1:8" x14ac:dyDescent="0.25">
      <c r="A53" s="207"/>
      <c r="B53" s="133" t="s">
        <v>1271</v>
      </c>
      <c r="C53" s="89"/>
      <c r="D53" s="131"/>
      <c r="E53" s="131"/>
      <c r="F53" s="131"/>
      <c r="G53" s="131"/>
      <c r="H53" s="206"/>
    </row>
    <row r="54" spans="1:8" x14ac:dyDescent="0.25">
      <c r="A54" s="207"/>
      <c r="B54" s="133" t="s">
        <v>581</v>
      </c>
      <c r="C54" s="89"/>
      <c r="D54" s="131"/>
      <c r="E54" s="131"/>
      <c r="F54" s="131"/>
      <c r="G54" s="131"/>
      <c r="H54" s="206"/>
    </row>
    <row r="55" spans="1:8" x14ac:dyDescent="0.25">
      <c r="A55" s="207"/>
      <c r="B55" s="133" t="s">
        <v>941</v>
      </c>
      <c r="C55" s="89"/>
      <c r="D55" s="131"/>
      <c r="E55" s="131"/>
      <c r="F55" s="131"/>
      <c r="G55" s="131"/>
      <c r="H55" s="206"/>
    </row>
    <row r="56" spans="1:8" x14ac:dyDescent="0.25">
      <c r="A56" s="207"/>
      <c r="B56" s="133" t="s">
        <v>1255</v>
      </c>
      <c r="C56" s="89"/>
      <c r="D56" s="131"/>
      <c r="E56" s="131"/>
      <c r="F56" s="131"/>
      <c r="G56" s="131"/>
      <c r="H56" s="206"/>
    </row>
    <row r="57" spans="1:8" x14ac:dyDescent="0.25">
      <c r="A57" s="207"/>
      <c r="B57" s="133" t="s">
        <v>1257</v>
      </c>
      <c r="C57" s="89"/>
      <c r="D57" s="208" t="s">
        <v>1258</v>
      </c>
      <c r="E57" s="725"/>
      <c r="F57" s="725"/>
      <c r="G57" s="725"/>
      <c r="H57" s="206"/>
    </row>
    <row r="58" spans="1:8" x14ac:dyDescent="0.25">
      <c r="A58" s="211"/>
      <c r="B58" s="209"/>
      <c r="C58" s="209"/>
      <c r="D58" s="209"/>
      <c r="E58" s="209"/>
      <c r="F58" s="209"/>
      <c r="G58" s="209"/>
      <c r="H58" s="210"/>
    </row>
    <row r="59" spans="1:8" ht="14.25" customHeight="1" x14ac:dyDescent="0.3">
      <c r="A59" s="80"/>
      <c r="B59" s="138"/>
      <c r="C59" s="138"/>
    </row>
    <row r="60" spans="1:8" ht="17.399999999999999" x14ac:dyDescent="0.3">
      <c r="A60" s="80" t="s">
        <v>156</v>
      </c>
    </row>
    <row r="61" spans="1:8" x14ac:dyDescent="0.25">
      <c r="B61" s="48" t="s">
        <v>157</v>
      </c>
      <c r="C61" s="373">
        <f>C26</f>
        <v>0</v>
      </c>
      <c r="F61" s="88" t="s">
        <v>1272</v>
      </c>
    </row>
    <row r="62" spans="1:8" x14ac:dyDescent="0.25">
      <c r="B62" s="368" t="s">
        <v>1005</v>
      </c>
      <c r="C62" s="7"/>
      <c r="D62" s="34" t="s">
        <v>843</v>
      </c>
      <c r="E62" s="7"/>
      <c r="F62" s="34" t="s">
        <v>172</v>
      </c>
      <c r="G62" s="89"/>
    </row>
    <row r="63" spans="1:8" ht="14.25" customHeight="1" x14ac:dyDescent="0.25">
      <c r="B63" s="48" t="s">
        <v>161</v>
      </c>
      <c r="C63" s="89"/>
      <c r="D63" s="34" t="s">
        <v>893</v>
      </c>
      <c r="E63" s="50"/>
      <c r="F63" s="34" t="s">
        <v>172</v>
      </c>
      <c r="G63" s="89"/>
    </row>
    <row r="64" spans="1:8" x14ac:dyDescent="0.25">
      <c r="B64" s="48" t="s">
        <v>162</v>
      </c>
      <c r="C64" s="89"/>
      <c r="D64" s="34" t="s">
        <v>893</v>
      </c>
      <c r="E64" s="253">
        <f>'Budget &amp; Costs'!D69</f>
        <v>0</v>
      </c>
      <c r="F64" s="34" t="s">
        <v>172</v>
      </c>
      <c r="G64" s="89"/>
    </row>
    <row r="65" spans="1:23" x14ac:dyDescent="0.25">
      <c r="B65" s="48" t="s">
        <v>1597</v>
      </c>
      <c r="C65" s="89"/>
      <c r="D65" s="34" t="s">
        <v>893</v>
      </c>
      <c r="E65" s="50"/>
      <c r="F65" s="34" t="s">
        <v>172</v>
      </c>
      <c r="G65" s="89"/>
    </row>
    <row r="66" spans="1:23" ht="14.25" customHeight="1" x14ac:dyDescent="0.3">
      <c r="A66" s="80"/>
      <c r="B66" s="138"/>
      <c r="C66" s="138"/>
    </row>
    <row r="67" spans="1:23" ht="14.25" customHeight="1" x14ac:dyDescent="0.3">
      <c r="A67" s="80"/>
      <c r="B67" s="138"/>
      <c r="C67" s="138"/>
    </row>
    <row r="68" spans="1:23" ht="17.399999999999999" x14ac:dyDescent="0.3">
      <c r="A68" s="6" t="s">
        <v>164</v>
      </c>
    </row>
    <row r="69" spans="1:23" ht="30" customHeight="1" x14ac:dyDescent="0.25">
      <c r="A69" s="726" t="s">
        <v>187</v>
      </c>
      <c r="B69" s="726"/>
      <c r="C69" s="726"/>
      <c r="D69" s="726"/>
      <c r="E69" s="726"/>
      <c r="F69" s="726"/>
      <c r="G69" s="726"/>
      <c r="H69" s="726"/>
      <c r="I69" s="726"/>
      <c r="J69" s="726"/>
      <c r="K69" s="24"/>
    </row>
    <row r="70" spans="1:23" x14ac:dyDescent="0.25">
      <c r="A70" s="18"/>
      <c r="B70" s="18"/>
      <c r="C70" s="18"/>
      <c r="D70" s="18"/>
      <c r="E70" s="18"/>
      <c r="F70" s="18"/>
      <c r="G70" s="18"/>
      <c r="H70" s="18"/>
      <c r="I70" s="18"/>
      <c r="J70" s="18"/>
      <c r="K70" s="19"/>
    </row>
    <row r="71" spans="1:23" ht="14.25" customHeight="1" x14ac:dyDescent="0.25">
      <c r="A71" s="726" t="s">
        <v>1011</v>
      </c>
      <c r="B71" s="726"/>
      <c r="C71" s="726"/>
      <c r="D71" s="726"/>
      <c r="E71" s="726"/>
      <c r="F71" s="726"/>
      <c r="G71" s="726"/>
      <c r="H71" s="726"/>
      <c r="I71" s="726"/>
      <c r="J71" s="726"/>
      <c r="K71" s="19"/>
    </row>
    <row r="72" spans="1:23" ht="41.4" x14ac:dyDescent="0.25">
      <c r="A72" s="374" t="s">
        <v>408</v>
      </c>
      <c r="B72" s="374" t="s">
        <v>896</v>
      </c>
      <c r="C72" s="374" t="s">
        <v>930</v>
      </c>
      <c r="D72" s="52" t="s">
        <v>935</v>
      </c>
      <c r="E72" s="252" t="s">
        <v>165</v>
      </c>
      <c r="F72" s="375" t="s">
        <v>410</v>
      </c>
      <c r="G72" s="52" t="s">
        <v>4879</v>
      </c>
      <c r="H72" s="52" t="s">
        <v>166</v>
      </c>
      <c r="I72" s="52" t="s">
        <v>7903</v>
      </c>
      <c r="J72" s="52" t="s">
        <v>176</v>
      </c>
      <c r="K72" s="52" t="s">
        <v>1180</v>
      </c>
      <c r="L72" s="374" t="s">
        <v>936</v>
      </c>
      <c r="M72" s="52" t="s">
        <v>937</v>
      </c>
      <c r="N72" s="374" t="s">
        <v>175</v>
      </c>
      <c r="O72" s="374" t="s">
        <v>186</v>
      </c>
      <c r="P72" s="374" t="s">
        <v>193</v>
      </c>
      <c r="Q72" s="374" t="s">
        <v>409</v>
      </c>
      <c r="R72" s="52" t="s">
        <v>990</v>
      </c>
      <c r="S72" s="52" t="s">
        <v>179</v>
      </c>
      <c r="T72" s="52" t="s">
        <v>188</v>
      </c>
      <c r="U72" s="52" t="s">
        <v>1662</v>
      </c>
      <c r="V72" s="52" t="s">
        <v>1663</v>
      </c>
      <c r="W72" s="52" t="s">
        <v>931</v>
      </c>
    </row>
    <row r="73" spans="1:23" x14ac:dyDescent="0.25">
      <c r="A73" s="16">
        <v>1</v>
      </c>
      <c r="B73" s="112"/>
      <c r="C73" s="112"/>
      <c r="D73" s="200"/>
      <c r="E73" s="114"/>
      <c r="F73" s="115"/>
      <c r="G73" s="568"/>
      <c r="H73" s="116"/>
      <c r="I73" s="16" t="str">
        <f>IF(SUM(IFERROR(IF(VLOOKUP(C73,Data!$H$11:$J$867,3,FALSE)="Yes",1),0),IFERROR(IF(VLOOKUP(G73,Data!$B$11:$F$3178,5,FALSE)="Yes",1,0),0))&gt;0,"Yes","No")</f>
        <v>No</v>
      </c>
      <c r="J73" s="117"/>
      <c r="K73" s="117"/>
      <c r="L73" s="118"/>
      <c r="M73" s="118"/>
      <c r="N73" s="119"/>
      <c r="O73" s="119"/>
      <c r="P73" s="679"/>
      <c r="Q73" s="119"/>
      <c r="R73" s="120"/>
      <c r="S73" s="120"/>
      <c r="T73" s="120"/>
      <c r="U73" s="120"/>
      <c r="V73" s="120"/>
      <c r="W73" s="120"/>
    </row>
    <row r="74" spans="1:23" x14ac:dyDescent="0.25">
      <c r="A74" s="16">
        <v>2</v>
      </c>
      <c r="B74" s="112"/>
      <c r="C74" s="112"/>
      <c r="D74" s="200"/>
      <c r="E74" s="114"/>
      <c r="F74" s="115"/>
      <c r="G74" s="568"/>
      <c r="H74" s="116"/>
      <c r="I74" s="16" t="str">
        <f>IF(SUM(IFERROR(IF(VLOOKUP(C74,Data!$H$11:$J$867,3,FALSE)="Yes",1),0),IFERROR(IF(VLOOKUP(G74,Data!$B$11:$F$3178,5,FALSE)="Yes",1,0),0))&gt;0,"Yes","No")</f>
        <v>No</v>
      </c>
      <c r="J74" s="117"/>
      <c r="K74" s="117"/>
      <c r="L74" s="118"/>
      <c r="M74" s="118"/>
      <c r="N74" s="119"/>
      <c r="O74" s="119"/>
      <c r="P74" s="679"/>
      <c r="Q74" s="119"/>
      <c r="R74" s="120"/>
      <c r="S74" s="120"/>
      <c r="T74" s="120"/>
      <c r="U74" s="120"/>
      <c r="V74" s="120"/>
      <c r="W74" s="120"/>
    </row>
    <row r="75" spans="1:23" x14ac:dyDescent="0.25">
      <c r="A75" s="16">
        <v>3</v>
      </c>
      <c r="B75" s="112"/>
      <c r="C75" s="112"/>
      <c r="D75" s="200"/>
      <c r="E75" s="114"/>
      <c r="F75" s="115"/>
      <c r="G75" s="248"/>
      <c r="H75" s="116"/>
      <c r="I75" s="16" t="str">
        <f>IF(SUM(IFERROR(IF(VLOOKUP(C75,Data!$H$11:$J$867,3,FALSE)="Yes",1),0),IFERROR(IF(VLOOKUP(G75,Data!$B$11:$F$3178,5,FALSE)="Yes",1,0),0))&gt;0,"Yes","No")</f>
        <v>No</v>
      </c>
      <c r="J75" s="117"/>
      <c r="K75" s="117"/>
      <c r="L75" s="118"/>
      <c r="M75" s="118"/>
      <c r="N75" s="119"/>
      <c r="O75" s="119"/>
      <c r="P75" s="679"/>
      <c r="Q75" s="119"/>
      <c r="R75" s="120"/>
      <c r="S75" s="120"/>
      <c r="T75" s="120"/>
      <c r="U75" s="120"/>
      <c r="V75" s="120"/>
      <c r="W75" s="120"/>
    </row>
    <row r="76" spans="1:23" x14ac:dyDescent="0.25">
      <c r="A76" s="16">
        <v>4</v>
      </c>
      <c r="B76" s="112"/>
      <c r="C76" s="112"/>
      <c r="D76" s="200"/>
      <c r="E76" s="114"/>
      <c r="F76" s="115"/>
      <c r="G76" s="248"/>
      <c r="H76" s="116"/>
      <c r="I76" s="16" t="str">
        <f>IF(SUM(IFERROR(IF(VLOOKUP(C76,Data!$H$11:$J$867,3,FALSE)="Yes",1),0),IFERROR(IF(VLOOKUP(G76,Data!$B$11:$F$3178,5,FALSE)="Yes",1,0),0))&gt;0,"Yes","No")</f>
        <v>No</v>
      </c>
      <c r="J76" s="117"/>
      <c r="K76" s="117"/>
      <c r="L76" s="118"/>
      <c r="M76" s="118"/>
      <c r="N76" s="119"/>
      <c r="O76" s="119"/>
      <c r="P76" s="679"/>
      <c r="Q76" s="119"/>
      <c r="R76" s="120"/>
      <c r="S76" s="120"/>
      <c r="T76" s="120"/>
      <c r="U76" s="120"/>
      <c r="V76" s="120"/>
      <c r="W76" s="120"/>
    </row>
    <row r="77" spans="1:23" x14ac:dyDescent="0.25">
      <c r="A77" s="16">
        <v>5</v>
      </c>
      <c r="B77" s="112"/>
      <c r="C77" s="112"/>
      <c r="D77" s="200"/>
      <c r="E77" s="114"/>
      <c r="F77" s="115"/>
      <c r="G77" s="248"/>
      <c r="H77" s="116"/>
      <c r="I77" s="16" t="str">
        <f>IF(SUM(IFERROR(IF(VLOOKUP(C77,Data!$H$11:$J$867,3,FALSE)="Yes",1),0),IFERROR(IF(VLOOKUP(G77,Data!$B$11:$F$3178,5,FALSE)="Yes",1,0),0))&gt;0,"Yes","No")</f>
        <v>No</v>
      </c>
      <c r="J77" s="117"/>
      <c r="K77" s="117"/>
      <c r="L77" s="118"/>
      <c r="M77" s="118"/>
      <c r="N77" s="119"/>
      <c r="O77" s="119"/>
      <c r="P77" s="679"/>
      <c r="Q77" s="119"/>
      <c r="R77" s="120"/>
      <c r="S77" s="120"/>
      <c r="T77" s="120"/>
      <c r="U77" s="120"/>
      <c r="V77" s="120"/>
      <c r="W77" s="120"/>
    </row>
    <row r="78" spans="1:23" x14ac:dyDescent="0.25">
      <c r="A78" s="16">
        <v>6</v>
      </c>
      <c r="B78" s="112"/>
      <c r="C78" s="112"/>
      <c r="D78" s="200"/>
      <c r="E78" s="114"/>
      <c r="F78" s="115"/>
      <c r="G78" s="248"/>
      <c r="H78" s="116"/>
      <c r="I78" s="16" t="str">
        <f>IF(SUM(IFERROR(IF(VLOOKUP(C78,Data!$H$11:$J$867,3,FALSE)="Yes",1),0),IFERROR(IF(VLOOKUP(G78,Data!$B$11:$F$3178,5,FALSE)="Yes",1,0),0))&gt;0,"Yes","No")</f>
        <v>No</v>
      </c>
      <c r="J78" s="117"/>
      <c r="K78" s="117"/>
      <c r="L78" s="118"/>
      <c r="M78" s="118"/>
      <c r="N78" s="119"/>
      <c r="O78" s="119"/>
      <c r="P78" s="679"/>
      <c r="Q78" s="119"/>
      <c r="R78" s="120"/>
      <c r="S78" s="120"/>
      <c r="T78" s="120"/>
      <c r="U78" s="120"/>
      <c r="V78" s="120"/>
      <c r="W78" s="120"/>
    </row>
    <row r="79" spans="1:23" x14ac:dyDescent="0.25">
      <c r="A79" s="16">
        <v>7</v>
      </c>
      <c r="B79" s="112"/>
      <c r="C79" s="112"/>
      <c r="D79" s="200"/>
      <c r="E79" s="114"/>
      <c r="F79" s="115"/>
      <c r="G79" s="248"/>
      <c r="H79" s="116"/>
      <c r="I79" s="16" t="str">
        <f>IF(SUM(IFERROR(IF(VLOOKUP(C79,Data!$H$11:$J$867,3,FALSE)="Yes",1),0),IFERROR(IF(VLOOKUP(G79,Data!$B$11:$F$3178,5,FALSE)="Yes",1,0),0))&gt;0,"Yes","No")</f>
        <v>No</v>
      </c>
      <c r="J79" s="117"/>
      <c r="K79" s="117"/>
      <c r="L79" s="118"/>
      <c r="M79" s="118"/>
      <c r="N79" s="119"/>
      <c r="O79" s="119"/>
      <c r="P79" s="679"/>
      <c r="Q79" s="119"/>
      <c r="R79" s="120"/>
      <c r="S79" s="120"/>
      <c r="T79" s="120"/>
      <c r="U79" s="120"/>
      <c r="V79" s="120"/>
      <c r="W79" s="120"/>
    </row>
    <row r="80" spans="1:23" x14ac:dyDescent="0.25">
      <c r="A80" s="16">
        <v>8</v>
      </c>
      <c r="B80" s="112"/>
      <c r="C80" s="112"/>
      <c r="D80" s="200"/>
      <c r="E80" s="114"/>
      <c r="F80" s="115"/>
      <c r="G80" s="248"/>
      <c r="H80" s="116"/>
      <c r="I80" s="16" t="str">
        <f>IF(SUM(IFERROR(IF(VLOOKUP(C80,Data!$H$11:$J$867,3,FALSE)="Yes",1),0),IFERROR(IF(VLOOKUP(G80,Data!$B$11:$F$3178,5,FALSE)="Yes",1,0),0))&gt;0,"Yes","No")</f>
        <v>No</v>
      </c>
      <c r="J80" s="117"/>
      <c r="K80" s="117"/>
      <c r="L80" s="118"/>
      <c r="M80" s="118"/>
      <c r="N80" s="119"/>
      <c r="O80" s="119"/>
      <c r="P80" s="679"/>
      <c r="Q80" s="119"/>
      <c r="R80" s="120"/>
      <c r="S80" s="120"/>
      <c r="T80" s="120"/>
      <c r="U80" s="120"/>
      <c r="V80" s="120"/>
      <c r="W80" s="120"/>
    </row>
    <row r="81" spans="1:23" x14ac:dyDescent="0.25">
      <c r="A81" s="16">
        <v>9</v>
      </c>
      <c r="B81" s="112"/>
      <c r="C81" s="112"/>
      <c r="D81" s="200"/>
      <c r="E81" s="114"/>
      <c r="F81" s="115"/>
      <c r="G81" s="248"/>
      <c r="H81" s="116"/>
      <c r="I81" s="16" t="str">
        <f>IF(SUM(IFERROR(IF(VLOOKUP(C81,Data!$H$11:$J$867,3,FALSE)="Yes",1),0),IFERROR(IF(VLOOKUP(G81,Data!$B$11:$F$3178,5,FALSE)="Yes",1,0),0))&gt;0,"Yes","No")</f>
        <v>No</v>
      </c>
      <c r="J81" s="117"/>
      <c r="K81" s="117"/>
      <c r="L81" s="118"/>
      <c r="M81" s="118"/>
      <c r="N81" s="119"/>
      <c r="O81" s="119"/>
      <c r="P81" s="679"/>
      <c r="Q81" s="119"/>
      <c r="R81" s="120"/>
      <c r="S81" s="120"/>
      <c r="T81" s="120"/>
      <c r="U81" s="120"/>
      <c r="V81" s="120"/>
      <c r="W81" s="120"/>
    </row>
    <row r="82" spans="1:23" x14ac:dyDescent="0.25">
      <c r="A82" s="16">
        <v>10</v>
      </c>
      <c r="B82" s="112"/>
      <c r="C82" s="112"/>
      <c r="D82" s="200"/>
      <c r="E82" s="114"/>
      <c r="F82" s="115"/>
      <c r="G82" s="248"/>
      <c r="H82" s="116"/>
      <c r="I82" s="16" t="str">
        <f>IF(SUM(IFERROR(IF(VLOOKUP(C82,Data!$H$11:$J$867,3,FALSE)="Yes",1),0),IFERROR(IF(VLOOKUP(G82,Data!$B$11:$F$3178,5,FALSE)="Yes",1,0),0))&gt;0,"Yes","No")</f>
        <v>No</v>
      </c>
      <c r="J82" s="117"/>
      <c r="K82" s="117"/>
      <c r="L82" s="118"/>
      <c r="M82" s="118"/>
      <c r="N82" s="119"/>
      <c r="O82" s="119"/>
      <c r="P82" s="679"/>
      <c r="Q82" s="119"/>
      <c r="R82" s="120"/>
      <c r="S82" s="120"/>
      <c r="T82" s="120"/>
      <c r="U82" s="120"/>
      <c r="V82" s="120"/>
      <c r="W82" s="120"/>
    </row>
    <row r="83" spans="1:23" x14ac:dyDescent="0.25">
      <c r="A83" s="16">
        <v>11</v>
      </c>
      <c r="B83" s="112"/>
      <c r="C83" s="112"/>
      <c r="D83" s="200"/>
      <c r="E83" s="114"/>
      <c r="F83" s="115"/>
      <c r="G83" s="248"/>
      <c r="H83" s="116"/>
      <c r="I83" s="16" t="str">
        <f>IF(SUM(IFERROR(IF(VLOOKUP(C83,Data!$H$11:$J$867,3,FALSE)="Yes",1),0),IFERROR(IF(VLOOKUP(G83,Data!$B$11:$F$3178,5,FALSE)="Yes",1,0),0))&gt;0,"Yes","No")</f>
        <v>No</v>
      </c>
      <c r="J83" s="117"/>
      <c r="K83" s="117"/>
      <c r="L83" s="118"/>
      <c r="M83" s="118"/>
      <c r="N83" s="119"/>
      <c r="O83" s="119"/>
      <c r="P83" s="679"/>
      <c r="Q83" s="119"/>
      <c r="R83" s="120"/>
      <c r="S83" s="120"/>
      <c r="T83" s="120"/>
      <c r="U83" s="120"/>
      <c r="V83" s="120"/>
      <c r="W83" s="120"/>
    </row>
    <row r="84" spans="1:23" x14ac:dyDescent="0.25">
      <c r="A84" s="16">
        <v>12</v>
      </c>
      <c r="B84" s="112"/>
      <c r="C84" s="112"/>
      <c r="D84" s="200"/>
      <c r="E84" s="114"/>
      <c r="F84" s="115"/>
      <c r="G84" s="248"/>
      <c r="H84" s="116"/>
      <c r="I84" s="16" t="str">
        <f>IF(SUM(IFERROR(IF(VLOOKUP(C84,Data!$H$11:$J$867,3,FALSE)="Yes",1),0),IFERROR(IF(VLOOKUP(G84,Data!$B$11:$F$3178,5,FALSE)="Yes",1,0),0))&gt;0,"Yes","No")</f>
        <v>No</v>
      </c>
      <c r="J84" s="117"/>
      <c r="K84" s="117"/>
      <c r="L84" s="118"/>
      <c r="M84" s="118"/>
      <c r="N84" s="119"/>
      <c r="O84" s="119"/>
      <c r="P84" s="679"/>
      <c r="Q84" s="119"/>
      <c r="R84" s="120"/>
      <c r="S84" s="120"/>
      <c r="T84" s="120"/>
      <c r="U84" s="120"/>
      <c r="V84" s="120"/>
      <c r="W84" s="120"/>
    </row>
    <row r="85" spans="1:23" x14ac:dyDescent="0.25">
      <c r="A85" s="16">
        <v>13</v>
      </c>
      <c r="B85" s="112"/>
      <c r="C85" s="112"/>
      <c r="D85" s="200"/>
      <c r="E85" s="114"/>
      <c r="F85" s="115"/>
      <c r="G85" s="248"/>
      <c r="H85" s="116"/>
      <c r="I85" s="16" t="str">
        <f>IF(SUM(IFERROR(IF(VLOOKUP(C85,Data!$H$11:$J$867,3,FALSE)="Yes",1),0),IFERROR(IF(VLOOKUP(G85,Data!$B$11:$F$3178,5,FALSE)="Yes",1,0),0))&gt;0,"Yes","No")</f>
        <v>No</v>
      </c>
      <c r="J85" s="117"/>
      <c r="K85" s="117"/>
      <c r="L85" s="118"/>
      <c r="M85" s="118"/>
      <c r="N85" s="119"/>
      <c r="O85" s="119"/>
      <c r="P85" s="679"/>
      <c r="Q85" s="119"/>
      <c r="R85" s="120"/>
      <c r="S85" s="120"/>
      <c r="T85" s="120"/>
      <c r="U85" s="120"/>
      <c r="V85" s="120"/>
      <c r="W85" s="120"/>
    </row>
    <row r="86" spans="1:23" x14ac:dyDescent="0.25">
      <c r="A86" s="16">
        <v>14</v>
      </c>
      <c r="B86" s="112"/>
      <c r="C86" s="112"/>
      <c r="D86" s="200"/>
      <c r="E86" s="114"/>
      <c r="F86" s="115"/>
      <c r="G86" s="248"/>
      <c r="H86" s="116"/>
      <c r="I86" s="16" t="str">
        <f>IF(SUM(IFERROR(IF(VLOOKUP(C86,Data!$H$11:$J$867,3,FALSE)="Yes",1),0),IFERROR(IF(VLOOKUP(G86,Data!$B$11:$F$3178,5,FALSE)="Yes",1,0),0))&gt;0,"Yes","No")</f>
        <v>No</v>
      </c>
      <c r="J86" s="117"/>
      <c r="K86" s="117"/>
      <c r="L86" s="118"/>
      <c r="M86" s="118"/>
      <c r="N86" s="119"/>
      <c r="O86" s="119"/>
      <c r="P86" s="679"/>
      <c r="Q86" s="119"/>
      <c r="R86" s="120"/>
      <c r="S86" s="120"/>
      <c r="T86" s="120"/>
      <c r="U86" s="120"/>
      <c r="V86" s="120"/>
      <c r="W86" s="120"/>
    </row>
    <row r="87" spans="1:23" x14ac:dyDescent="0.25">
      <c r="A87" s="16">
        <v>15</v>
      </c>
      <c r="B87" s="112"/>
      <c r="C87" s="112"/>
      <c r="D87" s="200"/>
      <c r="E87" s="114"/>
      <c r="F87" s="115"/>
      <c r="G87" s="248"/>
      <c r="H87" s="116"/>
      <c r="I87" s="16" t="str">
        <f>IF(SUM(IFERROR(IF(VLOOKUP(C87,Data!$H$11:$J$867,3,FALSE)="Yes",1),0),IFERROR(IF(VLOOKUP(G87,Data!$B$11:$F$3178,5,FALSE)="Yes",1,0),0))&gt;0,"Yes","No")</f>
        <v>No</v>
      </c>
      <c r="J87" s="117"/>
      <c r="K87" s="117"/>
      <c r="L87" s="118"/>
      <c r="M87" s="118"/>
      <c r="N87" s="119"/>
      <c r="O87" s="119"/>
      <c r="P87" s="679"/>
      <c r="Q87" s="119"/>
      <c r="R87" s="120"/>
      <c r="S87" s="120"/>
      <c r="T87" s="120"/>
      <c r="U87" s="120"/>
      <c r="V87" s="120"/>
      <c r="W87" s="120"/>
    </row>
    <row r="88" spans="1:23" x14ac:dyDescent="0.25">
      <c r="A88" s="16">
        <v>16</v>
      </c>
      <c r="B88" s="112"/>
      <c r="C88" s="112"/>
      <c r="D88" s="200"/>
      <c r="E88" s="114"/>
      <c r="F88" s="115"/>
      <c r="G88" s="248"/>
      <c r="H88" s="116"/>
      <c r="I88" s="16" t="str">
        <f>IF(SUM(IFERROR(IF(VLOOKUP(C88,Data!$H$11:$J$867,3,FALSE)="Yes",1),0),IFERROR(IF(VLOOKUP(G88,Data!$B$11:$F$3178,5,FALSE)="Yes",1,0),0))&gt;0,"Yes","No")</f>
        <v>No</v>
      </c>
      <c r="J88" s="117"/>
      <c r="K88" s="117"/>
      <c r="L88" s="118"/>
      <c r="M88" s="118"/>
      <c r="N88" s="119"/>
      <c r="O88" s="119"/>
      <c r="P88" s="679"/>
      <c r="Q88" s="119"/>
      <c r="R88" s="120"/>
      <c r="S88" s="120"/>
      <c r="T88" s="120"/>
      <c r="U88" s="120"/>
      <c r="V88" s="120"/>
      <c r="W88" s="120"/>
    </row>
    <row r="89" spans="1:23" x14ac:dyDescent="0.25">
      <c r="A89" s="16">
        <v>17</v>
      </c>
      <c r="B89" s="112"/>
      <c r="C89" s="112"/>
      <c r="D89" s="200"/>
      <c r="E89" s="114"/>
      <c r="F89" s="115"/>
      <c r="G89" s="248"/>
      <c r="H89" s="116"/>
      <c r="I89" s="16" t="str">
        <f>IF(SUM(IFERROR(IF(VLOOKUP(C89,Data!$H$11:$J$867,3,FALSE)="Yes",1),0),IFERROR(IF(VLOOKUP(G89,Data!$B$11:$F$3178,5,FALSE)="Yes",1,0),0))&gt;0,"Yes","No")</f>
        <v>No</v>
      </c>
      <c r="J89" s="117"/>
      <c r="K89" s="117"/>
      <c r="L89" s="118"/>
      <c r="M89" s="118"/>
      <c r="N89" s="119"/>
      <c r="O89" s="119"/>
      <c r="P89" s="679"/>
      <c r="Q89" s="119"/>
      <c r="R89" s="120"/>
      <c r="S89" s="120"/>
      <c r="T89" s="120"/>
      <c r="U89" s="120"/>
      <c r="V89" s="120"/>
      <c r="W89" s="120"/>
    </row>
    <row r="90" spans="1:23" x14ac:dyDescent="0.25">
      <c r="A90" s="16">
        <v>18</v>
      </c>
      <c r="B90" s="112"/>
      <c r="C90" s="112"/>
      <c r="D90" s="200"/>
      <c r="E90" s="114"/>
      <c r="F90" s="115"/>
      <c r="G90" s="248"/>
      <c r="H90" s="116"/>
      <c r="I90" s="16" t="str">
        <f>IF(SUM(IFERROR(IF(VLOOKUP(C90,Data!$H$11:$J$867,3,FALSE)="Yes",1),0),IFERROR(IF(VLOOKUP(G90,Data!$B$11:$F$3178,5,FALSE)="Yes",1,0),0))&gt;0,"Yes","No")</f>
        <v>No</v>
      </c>
      <c r="J90" s="117"/>
      <c r="K90" s="117"/>
      <c r="L90" s="118"/>
      <c r="M90" s="118"/>
      <c r="N90" s="119"/>
      <c r="O90" s="119"/>
      <c r="P90" s="679"/>
      <c r="Q90" s="119"/>
      <c r="R90" s="120"/>
      <c r="S90" s="120"/>
      <c r="T90" s="120"/>
      <c r="U90" s="120"/>
      <c r="V90" s="120"/>
      <c r="W90" s="120"/>
    </row>
    <row r="91" spans="1:23" x14ac:dyDescent="0.25">
      <c r="A91" s="16">
        <v>19</v>
      </c>
      <c r="B91" s="112"/>
      <c r="C91" s="112"/>
      <c r="D91" s="200"/>
      <c r="E91" s="114"/>
      <c r="F91" s="115"/>
      <c r="G91" s="248"/>
      <c r="H91" s="116"/>
      <c r="I91" s="16" t="str">
        <f>IF(SUM(IFERROR(IF(VLOOKUP(C91,Data!$H$11:$J$867,3,FALSE)="Yes",1),0),IFERROR(IF(VLOOKUP(G91,Data!$B$11:$F$3178,5,FALSE)="Yes",1,0),0))&gt;0,"Yes","No")</f>
        <v>No</v>
      </c>
      <c r="J91" s="117"/>
      <c r="K91" s="117"/>
      <c r="L91" s="118"/>
      <c r="M91" s="118"/>
      <c r="N91" s="119"/>
      <c r="O91" s="119"/>
      <c r="P91" s="679"/>
      <c r="Q91" s="119"/>
      <c r="R91" s="120"/>
      <c r="S91" s="120"/>
      <c r="T91" s="120"/>
      <c r="U91" s="120"/>
      <c r="V91" s="120"/>
      <c r="W91" s="120"/>
    </row>
    <row r="92" spans="1:23" x14ac:dyDescent="0.25">
      <c r="A92" s="16">
        <v>20</v>
      </c>
      <c r="B92" s="112"/>
      <c r="C92" s="112"/>
      <c r="D92" s="200"/>
      <c r="E92" s="114"/>
      <c r="F92" s="115"/>
      <c r="G92" s="248"/>
      <c r="H92" s="116"/>
      <c r="I92" s="16" t="str">
        <f>IF(SUM(IFERROR(IF(VLOOKUP(C92,Data!$H$11:$J$867,3,FALSE)="Yes",1),0),IFERROR(IF(VLOOKUP(G92,Data!$B$11:$F$3178,5,FALSE)="Yes",1,0),0))&gt;0,"Yes","No")</f>
        <v>No</v>
      </c>
      <c r="J92" s="117"/>
      <c r="K92" s="117"/>
      <c r="L92" s="118"/>
      <c r="M92" s="118"/>
      <c r="N92" s="119"/>
      <c r="O92" s="119"/>
      <c r="P92" s="679"/>
      <c r="Q92" s="119"/>
      <c r="R92" s="120"/>
      <c r="S92" s="120"/>
      <c r="T92" s="120"/>
      <c r="U92" s="120"/>
      <c r="V92" s="120"/>
      <c r="W92" s="120"/>
    </row>
    <row r="93" spans="1:23" x14ac:dyDescent="0.25">
      <c r="A93" s="16">
        <v>21</v>
      </c>
      <c r="B93" s="112"/>
      <c r="C93" s="112"/>
      <c r="D93" s="200"/>
      <c r="E93" s="114"/>
      <c r="F93" s="115"/>
      <c r="G93" s="248"/>
      <c r="H93" s="116"/>
      <c r="I93" s="16" t="str">
        <f>IF(SUM(IFERROR(IF(VLOOKUP(C93,Data!$H$11:$J$867,3,FALSE)="Yes",1),0),IFERROR(IF(VLOOKUP(G93,Data!$B$11:$F$3178,5,FALSE)="Yes",1,0),0))&gt;0,"Yes","No")</f>
        <v>No</v>
      </c>
      <c r="J93" s="117"/>
      <c r="K93" s="117"/>
      <c r="L93" s="118"/>
      <c r="M93" s="118"/>
      <c r="N93" s="119"/>
      <c r="O93" s="119"/>
      <c r="P93" s="679"/>
      <c r="Q93" s="119"/>
      <c r="R93" s="120"/>
      <c r="S93" s="120"/>
      <c r="T93" s="120"/>
      <c r="U93" s="120"/>
      <c r="V93" s="120"/>
      <c r="W93" s="120"/>
    </row>
    <row r="94" spans="1:23" x14ac:dyDescent="0.25">
      <c r="A94" s="16">
        <v>22</v>
      </c>
      <c r="B94" s="112"/>
      <c r="C94" s="112"/>
      <c r="D94" s="200"/>
      <c r="E94" s="114"/>
      <c r="F94" s="115"/>
      <c r="G94" s="248"/>
      <c r="H94" s="116"/>
      <c r="I94" s="16" t="str">
        <f>IF(SUM(IFERROR(IF(VLOOKUP(C94,Data!$H$11:$J$867,3,FALSE)="Yes",1),0),IFERROR(IF(VLOOKUP(G94,Data!$B$11:$F$3178,5,FALSE)="Yes",1,0),0))&gt;0,"Yes","No")</f>
        <v>No</v>
      </c>
      <c r="J94" s="117"/>
      <c r="K94" s="117"/>
      <c r="L94" s="118"/>
      <c r="M94" s="118"/>
      <c r="N94" s="119"/>
      <c r="O94" s="119"/>
      <c r="P94" s="679"/>
      <c r="Q94" s="119"/>
      <c r="R94" s="120"/>
      <c r="S94" s="120"/>
      <c r="T94" s="120"/>
      <c r="U94" s="120"/>
      <c r="V94" s="120"/>
      <c r="W94" s="120"/>
    </row>
    <row r="95" spans="1:23" x14ac:dyDescent="0.25">
      <c r="A95" s="16">
        <v>23</v>
      </c>
      <c r="B95" s="112"/>
      <c r="C95" s="112"/>
      <c r="D95" s="200"/>
      <c r="E95" s="114"/>
      <c r="F95" s="115"/>
      <c r="G95" s="248"/>
      <c r="H95" s="116"/>
      <c r="I95" s="16" t="str">
        <f>IF(SUM(IFERROR(IF(VLOOKUP(C95,Data!$H$11:$J$867,3,FALSE)="Yes",1),0),IFERROR(IF(VLOOKUP(G95,Data!$B$11:$F$3178,5,FALSE)="Yes",1,0),0))&gt;0,"Yes","No")</f>
        <v>No</v>
      </c>
      <c r="J95" s="117"/>
      <c r="K95" s="117"/>
      <c r="L95" s="118"/>
      <c r="M95" s="118"/>
      <c r="N95" s="119"/>
      <c r="O95" s="119"/>
      <c r="P95" s="679"/>
      <c r="Q95" s="119"/>
      <c r="R95" s="120"/>
      <c r="S95" s="120"/>
      <c r="T95" s="120"/>
      <c r="U95" s="120"/>
      <c r="V95" s="120"/>
      <c r="W95" s="120"/>
    </row>
    <row r="96" spans="1:23" x14ac:dyDescent="0.25">
      <c r="A96" s="16">
        <v>24</v>
      </c>
      <c r="B96" s="112"/>
      <c r="C96" s="112"/>
      <c r="D96" s="200"/>
      <c r="E96" s="114"/>
      <c r="F96" s="115"/>
      <c r="G96" s="248"/>
      <c r="H96" s="116"/>
      <c r="I96" s="16" t="str">
        <f>IF(SUM(IFERROR(IF(VLOOKUP(C96,Data!$H$11:$J$867,3,FALSE)="Yes",1),0),IFERROR(IF(VLOOKUP(G96,Data!$B$11:$F$3178,5,FALSE)="Yes",1,0),0))&gt;0,"Yes","No")</f>
        <v>No</v>
      </c>
      <c r="J96" s="117"/>
      <c r="K96" s="117"/>
      <c r="L96" s="118"/>
      <c r="M96" s="118"/>
      <c r="N96" s="119"/>
      <c r="O96" s="119"/>
      <c r="P96" s="679"/>
      <c r="Q96" s="119"/>
      <c r="R96" s="120"/>
      <c r="S96" s="120"/>
      <c r="T96" s="120"/>
      <c r="U96" s="120"/>
      <c r="V96" s="120"/>
      <c r="W96" s="120"/>
    </row>
    <row r="97" spans="1:23" s="144" customFormat="1" x14ac:dyDescent="0.25">
      <c r="A97" s="16">
        <v>25</v>
      </c>
      <c r="B97" s="112"/>
      <c r="C97" s="112"/>
      <c r="D97" s="200"/>
      <c r="E97" s="114"/>
      <c r="F97" s="115"/>
      <c r="G97" s="248"/>
      <c r="H97" s="116"/>
      <c r="I97" s="16" t="str">
        <f>IF(SUM(IFERROR(IF(VLOOKUP(C97,Data!$H$11:$J$867,3,FALSE)="Yes",1),0),IFERROR(IF(VLOOKUP(G97,Data!$B$11:$F$3178,5,FALSE)="Yes",1,0),0))&gt;0,"Yes","No")</f>
        <v>No</v>
      </c>
      <c r="J97" s="117"/>
      <c r="K97" s="117"/>
      <c r="L97" s="118"/>
      <c r="M97" s="118"/>
      <c r="N97" s="119"/>
      <c r="O97" s="119"/>
      <c r="P97" s="679"/>
      <c r="Q97" s="119"/>
      <c r="R97" s="120"/>
      <c r="S97" s="120"/>
      <c r="T97" s="120"/>
      <c r="U97" s="120"/>
      <c r="V97" s="120"/>
      <c r="W97" s="120"/>
    </row>
    <row r="98" spans="1:23" x14ac:dyDescent="0.25">
      <c r="A98" s="16">
        <v>26</v>
      </c>
      <c r="B98" s="112"/>
      <c r="C98" s="112"/>
      <c r="D98" s="200"/>
      <c r="E98" s="114"/>
      <c r="F98" s="115"/>
      <c r="G98" s="248"/>
      <c r="H98" s="116"/>
      <c r="I98" s="16" t="str">
        <f>IF(SUM(IFERROR(IF(VLOOKUP(C98,Data!$H$11:$J$867,3,FALSE)="Yes",1),0),IFERROR(IF(VLOOKUP(G98,Data!$B$11:$F$3178,5,FALSE)="Yes",1,0),0))&gt;0,"Yes","No")</f>
        <v>No</v>
      </c>
      <c r="J98" s="117"/>
      <c r="K98" s="117"/>
      <c r="L98" s="118"/>
      <c r="M98" s="118"/>
      <c r="N98" s="119"/>
      <c r="O98" s="119"/>
      <c r="P98" s="679"/>
      <c r="Q98" s="119"/>
      <c r="R98" s="120"/>
      <c r="S98" s="120"/>
      <c r="T98" s="120"/>
      <c r="U98" s="120"/>
      <c r="V98" s="120"/>
      <c r="W98" s="120"/>
    </row>
    <row r="99" spans="1:23" x14ac:dyDescent="0.25">
      <c r="A99" s="16">
        <v>27</v>
      </c>
      <c r="B99" s="112"/>
      <c r="C99" s="112"/>
      <c r="D99" s="200"/>
      <c r="E99" s="114"/>
      <c r="F99" s="115"/>
      <c r="G99" s="248"/>
      <c r="H99" s="116"/>
      <c r="I99" s="16" t="str">
        <f>IF(SUM(IFERROR(IF(VLOOKUP(C99,Data!$H$11:$J$867,3,FALSE)="Yes",1),0),IFERROR(IF(VLOOKUP(G99,Data!$B$11:$F$3178,5,FALSE)="Yes",1,0),0))&gt;0,"Yes","No")</f>
        <v>No</v>
      </c>
      <c r="J99" s="117"/>
      <c r="K99" s="117"/>
      <c r="L99" s="118"/>
      <c r="M99" s="118"/>
      <c r="N99" s="119"/>
      <c r="O99" s="119"/>
      <c r="P99" s="679"/>
      <c r="Q99" s="119"/>
      <c r="R99" s="120"/>
      <c r="S99" s="120"/>
      <c r="T99" s="120"/>
      <c r="U99" s="120"/>
      <c r="V99" s="120"/>
      <c r="W99" s="120"/>
    </row>
    <row r="100" spans="1:23" x14ac:dyDescent="0.25">
      <c r="A100" s="16">
        <v>28</v>
      </c>
      <c r="B100" s="112"/>
      <c r="C100" s="112"/>
      <c r="D100" s="200"/>
      <c r="E100" s="114"/>
      <c r="F100" s="115"/>
      <c r="G100" s="248"/>
      <c r="H100" s="116"/>
      <c r="I100" s="16" t="str">
        <f>IF(SUM(IFERROR(IF(VLOOKUP(C100,Data!$H$11:$J$867,3,FALSE)="Yes",1),0),IFERROR(IF(VLOOKUP(G100,Data!$B$11:$F$3178,5,FALSE)="Yes",1,0),0))&gt;0,"Yes","No")</f>
        <v>No</v>
      </c>
      <c r="J100" s="117"/>
      <c r="K100" s="117"/>
      <c r="L100" s="118"/>
      <c r="M100" s="118"/>
      <c r="N100" s="119"/>
      <c r="O100" s="119"/>
      <c r="P100" s="679"/>
      <c r="Q100" s="119"/>
      <c r="R100" s="120"/>
      <c r="S100" s="120"/>
      <c r="T100" s="120"/>
      <c r="U100" s="120"/>
      <c r="V100" s="120"/>
      <c r="W100" s="120"/>
    </row>
    <row r="101" spans="1:23" x14ac:dyDescent="0.25">
      <c r="A101" s="16">
        <v>29</v>
      </c>
      <c r="B101" s="112"/>
      <c r="C101" s="112"/>
      <c r="D101" s="200"/>
      <c r="E101" s="114"/>
      <c r="F101" s="115"/>
      <c r="G101" s="248"/>
      <c r="H101" s="116"/>
      <c r="I101" s="16" t="str">
        <f>IF(SUM(IFERROR(IF(VLOOKUP(C101,Data!$H$11:$J$867,3,FALSE)="Yes",1),0),IFERROR(IF(VLOOKUP(G101,Data!$B$11:$F$3178,5,FALSE)="Yes",1,0),0))&gt;0,"Yes","No")</f>
        <v>No</v>
      </c>
      <c r="J101" s="117"/>
      <c r="K101" s="117"/>
      <c r="L101" s="118"/>
      <c r="M101" s="118"/>
      <c r="N101" s="119"/>
      <c r="O101" s="119"/>
      <c r="P101" s="679"/>
      <c r="Q101" s="119"/>
      <c r="R101" s="120"/>
      <c r="S101" s="120"/>
      <c r="T101" s="120"/>
      <c r="U101" s="120"/>
      <c r="V101" s="120"/>
      <c r="W101" s="120"/>
    </row>
    <row r="102" spans="1:23" x14ac:dyDescent="0.25">
      <c r="A102" s="16">
        <v>30</v>
      </c>
      <c r="B102" s="112"/>
      <c r="C102" s="112"/>
      <c r="D102" s="200"/>
      <c r="E102" s="114"/>
      <c r="F102" s="115"/>
      <c r="G102" s="248"/>
      <c r="H102" s="116"/>
      <c r="I102" s="16" t="str">
        <f>IF(SUM(IFERROR(IF(VLOOKUP(C102,Data!$H$11:$J$867,3,FALSE)="Yes",1),0),IFERROR(IF(VLOOKUP(G102,Data!$B$11:$F$3178,5,FALSE)="Yes",1,0),0))&gt;0,"Yes","No")</f>
        <v>No</v>
      </c>
      <c r="J102" s="117"/>
      <c r="K102" s="117"/>
      <c r="L102" s="118"/>
      <c r="M102" s="118"/>
      <c r="N102" s="119"/>
      <c r="O102" s="119"/>
      <c r="P102" s="679"/>
      <c r="Q102" s="119"/>
      <c r="R102" s="120"/>
      <c r="S102" s="120"/>
      <c r="T102" s="120"/>
      <c r="U102" s="120"/>
      <c r="V102" s="120"/>
      <c r="W102" s="120"/>
    </row>
    <row r="103" spans="1:23" x14ac:dyDescent="0.25">
      <c r="A103" s="16">
        <v>31</v>
      </c>
      <c r="B103" s="112"/>
      <c r="C103" s="112"/>
      <c r="D103" s="200"/>
      <c r="E103" s="114"/>
      <c r="F103" s="115"/>
      <c r="G103" s="248"/>
      <c r="H103" s="116"/>
      <c r="I103" s="16" t="str">
        <f>IF(SUM(IFERROR(IF(VLOOKUP(C103,Data!$H$11:$J$867,3,FALSE)="Yes",1),0),IFERROR(IF(VLOOKUP(G103,Data!$B$11:$F$3178,5,FALSE)="Yes",1,0),0))&gt;0,"Yes","No")</f>
        <v>No</v>
      </c>
      <c r="J103" s="117"/>
      <c r="K103" s="117"/>
      <c r="L103" s="118"/>
      <c r="M103" s="118"/>
      <c r="N103" s="119"/>
      <c r="O103" s="119"/>
      <c r="P103" s="679"/>
      <c r="Q103" s="119"/>
      <c r="R103" s="120"/>
      <c r="S103" s="120"/>
      <c r="T103" s="120"/>
      <c r="U103" s="120"/>
      <c r="V103" s="120"/>
      <c r="W103" s="120"/>
    </row>
    <row r="104" spans="1:23" x14ac:dyDescent="0.25">
      <c r="A104" s="16">
        <v>32</v>
      </c>
      <c r="B104" s="112"/>
      <c r="C104" s="112"/>
      <c r="D104" s="200"/>
      <c r="E104" s="114"/>
      <c r="F104" s="115"/>
      <c r="G104" s="248"/>
      <c r="H104" s="116"/>
      <c r="I104" s="16" t="str">
        <f>IF(SUM(IFERROR(IF(VLOOKUP(C104,Data!$H$11:$J$867,3,FALSE)="Yes",1),0),IFERROR(IF(VLOOKUP(G104,Data!$B$11:$F$3178,5,FALSE)="Yes",1,0),0))&gt;0,"Yes","No")</f>
        <v>No</v>
      </c>
      <c r="J104" s="117"/>
      <c r="K104" s="117"/>
      <c r="L104" s="118"/>
      <c r="M104" s="118"/>
      <c r="N104" s="119"/>
      <c r="O104" s="119"/>
      <c r="P104" s="679"/>
      <c r="Q104" s="119"/>
      <c r="R104" s="120"/>
      <c r="S104" s="120"/>
      <c r="T104" s="120"/>
      <c r="U104" s="120"/>
      <c r="V104" s="120"/>
      <c r="W104" s="120"/>
    </row>
    <row r="105" spans="1:23" x14ac:dyDescent="0.25">
      <c r="A105" s="16">
        <v>33</v>
      </c>
      <c r="B105" s="112"/>
      <c r="C105" s="112"/>
      <c r="D105" s="200"/>
      <c r="E105" s="114"/>
      <c r="F105" s="115"/>
      <c r="G105" s="248"/>
      <c r="H105" s="116"/>
      <c r="I105" s="16" t="str">
        <f>IF(SUM(IFERROR(IF(VLOOKUP(C105,Data!$H$11:$J$867,3,FALSE)="Yes",1),0),IFERROR(IF(VLOOKUP(G105,Data!$B$11:$F$3178,5,FALSE)="Yes",1,0),0))&gt;0,"Yes","No")</f>
        <v>No</v>
      </c>
      <c r="J105" s="117"/>
      <c r="K105" s="117"/>
      <c r="L105" s="118"/>
      <c r="M105" s="118"/>
      <c r="N105" s="119"/>
      <c r="O105" s="119"/>
      <c r="P105" s="679"/>
      <c r="Q105" s="119"/>
      <c r="R105" s="120"/>
      <c r="S105" s="120"/>
      <c r="T105" s="120"/>
      <c r="U105" s="120"/>
      <c r="V105" s="120"/>
      <c r="W105" s="120"/>
    </row>
    <row r="106" spans="1:23" x14ac:dyDescent="0.25">
      <c r="A106" s="16">
        <v>34</v>
      </c>
      <c r="B106" s="112"/>
      <c r="C106" s="112"/>
      <c r="D106" s="200"/>
      <c r="E106" s="114"/>
      <c r="F106" s="115"/>
      <c r="G106" s="248"/>
      <c r="H106" s="116"/>
      <c r="I106" s="16" t="str">
        <f>IF(SUM(IFERROR(IF(VLOOKUP(C106,Data!$H$11:$J$867,3,FALSE)="Yes",1),0),IFERROR(IF(VLOOKUP(G106,Data!$B$11:$F$3178,5,FALSE)="Yes",1,0),0))&gt;0,"Yes","No")</f>
        <v>No</v>
      </c>
      <c r="J106" s="117"/>
      <c r="K106" s="117"/>
      <c r="L106" s="118"/>
      <c r="M106" s="118"/>
      <c r="N106" s="119"/>
      <c r="O106" s="119"/>
      <c r="P106" s="679"/>
      <c r="Q106" s="119"/>
      <c r="R106" s="120"/>
      <c r="S106" s="120"/>
      <c r="T106" s="120"/>
      <c r="U106" s="120"/>
      <c r="V106" s="120"/>
      <c r="W106" s="120"/>
    </row>
    <row r="107" spans="1:23" x14ac:dyDescent="0.25">
      <c r="A107" s="16">
        <v>35</v>
      </c>
      <c r="B107" s="112"/>
      <c r="C107" s="112"/>
      <c r="D107" s="200"/>
      <c r="E107" s="114"/>
      <c r="F107" s="115"/>
      <c r="G107" s="248"/>
      <c r="H107" s="116"/>
      <c r="I107" s="16" t="str">
        <f>IF(SUM(IFERROR(IF(VLOOKUP(C107,Data!$H$11:$J$867,3,FALSE)="Yes",1),0),IFERROR(IF(VLOOKUP(G107,Data!$B$11:$F$3178,5,FALSE)="Yes",1,0),0))&gt;0,"Yes","No")</f>
        <v>No</v>
      </c>
      <c r="J107" s="117"/>
      <c r="K107" s="117"/>
      <c r="L107" s="118"/>
      <c r="M107" s="118"/>
      <c r="N107" s="119"/>
      <c r="O107" s="119"/>
      <c r="P107" s="679"/>
      <c r="Q107" s="119"/>
      <c r="R107" s="120"/>
      <c r="S107" s="120"/>
      <c r="T107" s="120"/>
      <c r="U107" s="120"/>
      <c r="V107" s="120"/>
      <c r="W107" s="120"/>
    </row>
    <row r="108" spans="1:23" x14ac:dyDescent="0.25">
      <c r="A108" s="16">
        <v>36</v>
      </c>
      <c r="B108" s="112"/>
      <c r="C108" s="112"/>
      <c r="D108" s="200"/>
      <c r="E108" s="114"/>
      <c r="F108" s="115"/>
      <c r="G108" s="248"/>
      <c r="H108" s="116"/>
      <c r="I108" s="16" t="str">
        <f>IF(SUM(IFERROR(IF(VLOOKUP(C108,Data!$H$11:$J$867,3,FALSE)="Yes",1),0),IFERROR(IF(VLOOKUP(G108,Data!$B$11:$F$3178,5,FALSE)="Yes",1,0),0))&gt;0,"Yes","No")</f>
        <v>No</v>
      </c>
      <c r="J108" s="117"/>
      <c r="K108" s="117"/>
      <c r="L108" s="118"/>
      <c r="M108" s="118"/>
      <c r="N108" s="119"/>
      <c r="O108" s="119"/>
      <c r="P108" s="679"/>
      <c r="Q108" s="119"/>
      <c r="R108" s="120"/>
      <c r="S108" s="120"/>
      <c r="T108" s="120"/>
      <c r="U108" s="120"/>
      <c r="V108" s="120"/>
      <c r="W108" s="120"/>
    </row>
    <row r="109" spans="1:23" x14ac:dyDescent="0.25">
      <c r="A109" s="16">
        <v>37</v>
      </c>
      <c r="B109" s="112"/>
      <c r="C109" s="112"/>
      <c r="D109" s="200"/>
      <c r="E109" s="114"/>
      <c r="F109" s="115"/>
      <c r="G109" s="248"/>
      <c r="H109" s="116"/>
      <c r="I109" s="16" t="str">
        <f>IF(SUM(IFERROR(IF(VLOOKUP(C109,Data!$H$11:$J$867,3,FALSE)="Yes",1),0),IFERROR(IF(VLOOKUP(G109,Data!$B$11:$F$3178,5,FALSE)="Yes",1,0),0))&gt;0,"Yes","No")</f>
        <v>No</v>
      </c>
      <c r="J109" s="117"/>
      <c r="K109" s="117"/>
      <c r="L109" s="118"/>
      <c r="M109" s="118"/>
      <c r="N109" s="119"/>
      <c r="O109" s="119"/>
      <c r="P109" s="679"/>
      <c r="Q109" s="119"/>
      <c r="R109" s="120"/>
      <c r="S109" s="120"/>
      <c r="T109" s="120"/>
      <c r="U109" s="120"/>
      <c r="V109" s="120"/>
      <c r="W109" s="120"/>
    </row>
    <row r="110" spans="1:23" x14ac:dyDescent="0.25">
      <c r="A110" s="16">
        <v>38</v>
      </c>
      <c r="B110" s="112"/>
      <c r="C110" s="112"/>
      <c r="D110" s="200"/>
      <c r="E110" s="114"/>
      <c r="F110" s="115"/>
      <c r="G110" s="248"/>
      <c r="H110" s="116"/>
      <c r="I110" s="16" t="str">
        <f>IF(SUM(IFERROR(IF(VLOOKUP(C110,Data!$H$11:$J$867,3,FALSE)="Yes",1),0),IFERROR(IF(VLOOKUP(G110,Data!$B$11:$F$3178,5,FALSE)="Yes",1,0),0))&gt;0,"Yes","No")</f>
        <v>No</v>
      </c>
      <c r="J110" s="117"/>
      <c r="K110" s="117"/>
      <c r="L110" s="118"/>
      <c r="M110" s="118"/>
      <c r="N110" s="119"/>
      <c r="O110" s="119"/>
      <c r="P110" s="679"/>
      <c r="Q110" s="119"/>
      <c r="R110" s="120"/>
      <c r="S110" s="120"/>
      <c r="T110" s="120"/>
      <c r="U110" s="120"/>
      <c r="V110" s="120"/>
      <c r="W110" s="120"/>
    </row>
    <row r="111" spans="1:23" x14ac:dyDescent="0.25">
      <c r="A111" s="16">
        <v>39</v>
      </c>
      <c r="B111" s="112"/>
      <c r="C111" s="112"/>
      <c r="D111" s="200"/>
      <c r="E111" s="114"/>
      <c r="F111" s="115"/>
      <c r="G111" s="248"/>
      <c r="H111" s="116"/>
      <c r="I111" s="16" t="str">
        <f>IF(SUM(IFERROR(IF(VLOOKUP(C111,Data!$H$11:$J$867,3,FALSE)="Yes",1),0),IFERROR(IF(VLOOKUP(G111,Data!$B$11:$F$3178,5,FALSE)="Yes",1,0),0))&gt;0,"Yes","No")</f>
        <v>No</v>
      </c>
      <c r="J111" s="117"/>
      <c r="K111" s="117"/>
      <c r="L111" s="118"/>
      <c r="M111" s="118"/>
      <c r="N111" s="119"/>
      <c r="O111" s="119"/>
      <c r="P111" s="679"/>
      <c r="Q111" s="119"/>
      <c r="R111" s="120"/>
      <c r="S111" s="120"/>
      <c r="T111" s="120"/>
      <c r="U111" s="120"/>
      <c r="V111" s="120"/>
      <c r="W111" s="120"/>
    </row>
    <row r="112" spans="1:23" s="144" customFormat="1" x14ac:dyDescent="0.25">
      <c r="A112" s="16">
        <v>40</v>
      </c>
      <c r="B112" s="112"/>
      <c r="C112" s="112"/>
      <c r="D112" s="200"/>
      <c r="E112" s="114"/>
      <c r="F112" s="115"/>
      <c r="G112" s="248"/>
      <c r="H112" s="116"/>
      <c r="I112" s="16" t="str">
        <f>IF(SUM(IFERROR(IF(VLOOKUP(C112,Data!$H$11:$J$867,3,FALSE)="Yes",1),0),IFERROR(IF(VLOOKUP(G112,Data!$B$11:$F$3178,5,FALSE)="Yes",1,0),0))&gt;0,"Yes","No")</f>
        <v>No</v>
      </c>
      <c r="J112" s="117"/>
      <c r="K112" s="117"/>
      <c r="L112" s="118"/>
      <c r="M112" s="118"/>
      <c r="N112" s="119"/>
      <c r="O112" s="119"/>
      <c r="P112" s="679"/>
      <c r="Q112" s="119"/>
      <c r="R112" s="120"/>
      <c r="S112" s="120"/>
      <c r="T112" s="120"/>
      <c r="U112" s="120"/>
      <c r="V112" s="120"/>
      <c r="W112" s="120"/>
    </row>
    <row r="113" spans="1:23" x14ac:dyDescent="0.25">
      <c r="A113" s="16">
        <v>41</v>
      </c>
      <c r="B113" s="112"/>
      <c r="C113" s="112"/>
      <c r="D113" s="200"/>
      <c r="E113" s="114"/>
      <c r="F113" s="115"/>
      <c r="G113" s="248"/>
      <c r="H113" s="116"/>
      <c r="I113" s="16" t="str">
        <f>IF(SUM(IFERROR(IF(VLOOKUP(C113,Data!$H$11:$J$867,3,FALSE)="Yes",1),0),IFERROR(IF(VLOOKUP(G113,Data!$B$11:$F$3178,5,FALSE)="Yes",1,0),0))&gt;0,"Yes","No")</f>
        <v>No</v>
      </c>
      <c r="J113" s="117"/>
      <c r="K113" s="117"/>
      <c r="L113" s="118"/>
      <c r="M113" s="118"/>
      <c r="N113" s="119"/>
      <c r="O113" s="119"/>
      <c r="P113" s="679"/>
      <c r="Q113" s="119"/>
      <c r="R113" s="120"/>
      <c r="S113" s="120"/>
      <c r="T113" s="120"/>
      <c r="U113" s="120"/>
      <c r="V113" s="120"/>
      <c r="W113" s="120"/>
    </row>
    <row r="114" spans="1:23" x14ac:dyDescent="0.25">
      <c r="A114" s="16">
        <v>42</v>
      </c>
      <c r="B114" s="112"/>
      <c r="C114" s="112"/>
      <c r="D114" s="200"/>
      <c r="E114" s="114"/>
      <c r="F114" s="115"/>
      <c r="G114" s="248"/>
      <c r="H114" s="116"/>
      <c r="I114" s="16" t="str">
        <f>IF(SUM(IFERROR(IF(VLOOKUP(C114,Data!$H$11:$J$867,3,FALSE)="Yes",1),0),IFERROR(IF(VLOOKUP(G114,Data!$B$11:$F$3178,5,FALSE)="Yes",1,0),0))&gt;0,"Yes","No")</f>
        <v>No</v>
      </c>
      <c r="J114" s="117"/>
      <c r="K114" s="117"/>
      <c r="L114" s="118"/>
      <c r="M114" s="118"/>
      <c r="N114" s="119"/>
      <c r="O114" s="119"/>
      <c r="P114" s="679"/>
      <c r="Q114" s="119"/>
      <c r="R114" s="120"/>
      <c r="S114" s="120"/>
      <c r="T114" s="120"/>
      <c r="U114" s="120"/>
      <c r="V114" s="120"/>
      <c r="W114" s="120"/>
    </row>
    <row r="115" spans="1:23" x14ac:dyDescent="0.25">
      <c r="A115" s="16">
        <v>43</v>
      </c>
      <c r="B115" s="112"/>
      <c r="C115" s="112"/>
      <c r="D115" s="200"/>
      <c r="E115" s="114"/>
      <c r="F115" s="115"/>
      <c r="G115" s="248"/>
      <c r="H115" s="116"/>
      <c r="I115" s="16" t="str">
        <f>IF(SUM(IFERROR(IF(VLOOKUP(C115,Data!$H$11:$J$867,3,FALSE)="Yes",1),0),IFERROR(IF(VLOOKUP(G115,Data!$B$11:$F$3178,5,FALSE)="Yes",1,0),0))&gt;0,"Yes","No")</f>
        <v>No</v>
      </c>
      <c r="J115" s="117"/>
      <c r="K115" s="117"/>
      <c r="L115" s="118"/>
      <c r="M115" s="118"/>
      <c r="N115" s="119"/>
      <c r="O115" s="119"/>
      <c r="P115" s="679"/>
      <c r="Q115" s="119"/>
      <c r="R115" s="120"/>
      <c r="S115" s="120"/>
      <c r="T115" s="120"/>
      <c r="U115" s="120"/>
      <c r="V115" s="120"/>
      <c r="W115" s="120"/>
    </row>
    <row r="116" spans="1:23" x14ac:dyDescent="0.25">
      <c r="A116" s="16">
        <v>44</v>
      </c>
      <c r="B116" s="112"/>
      <c r="C116" s="112"/>
      <c r="D116" s="200"/>
      <c r="E116" s="114"/>
      <c r="F116" s="115"/>
      <c r="G116" s="248"/>
      <c r="H116" s="116"/>
      <c r="I116" s="16" t="str">
        <f>IF(SUM(IFERROR(IF(VLOOKUP(C116,Data!$H$11:$J$867,3,FALSE)="Yes",1),0),IFERROR(IF(VLOOKUP(G116,Data!$B$11:$F$3178,5,FALSE)="Yes",1,0),0))&gt;0,"Yes","No")</f>
        <v>No</v>
      </c>
      <c r="J116" s="117"/>
      <c r="K116" s="117"/>
      <c r="L116" s="118"/>
      <c r="M116" s="118"/>
      <c r="N116" s="119"/>
      <c r="O116" s="119"/>
      <c r="P116" s="679"/>
      <c r="Q116" s="119"/>
      <c r="R116" s="120"/>
      <c r="S116" s="120"/>
      <c r="T116" s="120"/>
      <c r="U116" s="120"/>
      <c r="V116" s="120"/>
      <c r="W116" s="120"/>
    </row>
    <row r="117" spans="1:23" x14ac:dyDescent="0.25">
      <c r="A117" s="16">
        <v>45</v>
      </c>
      <c r="B117" s="112" t="s">
        <v>998</v>
      </c>
      <c r="C117" s="112"/>
      <c r="D117" s="200"/>
      <c r="E117" s="114"/>
      <c r="F117" s="115"/>
      <c r="G117" s="248"/>
      <c r="H117" s="116"/>
      <c r="I117" s="16" t="str">
        <f>IF(SUM(IFERROR(IF(VLOOKUP(C117,Data!$H$11:$J$867,3,FALSE)="Yes",1),0),IFERROR(IF(VLOOKUP(G117,Data!$B$11:$F$3178,5,FALSE)="Yes",1,0),0))&gt;0,"Yes","No")</f>
        <v>No</v>
      </c>
      <c r="J117" s="117"/>
      <c r="K117" s="117"/>
      <c r="L117" s="118"/>
      <c r="M117" s="118"/>
      <c r="N117" s="119"/>
      <c r="O117" s="119"/>
      <c r="P117" s="679"/>
      <c r="Q117" s="119"/>
      <c r="R117" s="120"/>
      <c r="S117" s="120"/>
      <c r="T117" s="120"/>
      <c r="U117" s="120"/>
      <c r="V117" s="120"/>
      <c r="W117" s="120"/>
    </row>
    <row r="118" spans="1:23" x14ac:dyDescent="0.25">
      <c r="A118" s="16">
        <v>46</v>
      </c>
      <c r="B118" s="112"/>
      <c r="C118" s="112"/>
      <c r="D118" s="200"/>
      <c r="E118" s="114"/>
      <c r="F118" s="115"/>
      <c r="G118" s="248"/>
      <c r="H118" s="116"/>
      <c r="I118" s="16" t="str">
        <f>IF(SUM(IFERROR(IF(VLOOKUP(C118,Data!$H$11:$J$867,3,FALSE)="Yes",1),0),IFERROR(IF(VLOOKUP(G118,Data!$B$11:$F$3178,5,FALSE)="Yes",1,0),0))&gt;0,"Yes","No")</f>
        <v>No</v>
      </c>
      <c r="J118" s="117"/>
      <c r="K118" s="117"/>
      <c r="L118" s="118"/>
      <c r="M118" s="118"/>
      <c r="N118" s="119"/>
      <c r="O118" s="119"/>
      <c r="P118" s="679"/>
      <c r="Q118" s="119"/>
      <c r="R118" s="120"/>
      <c r="S118" s="120"/>
      <c r="T118" s="120"/>
      <c r="U118" s="120"/>
      <c r="V118" s="120"/>
      <c r="W118" s="120"/>
    </row>
    <row r="119" spans="1:23" x14ac:dyDescent="0.25">
      <c r="A119" s="16">
        <v>47</v>
      </c>
      <c r="B119" s="112"/>
      <c r="C119" s="112"/>
      <c r="D119" s="200"/>
      <c r="E119" s="114"/>
      <c r="F119" s="115"/>
      <c r="G119" s="248"/>
      <c r="H119" s="116"/>
      <c r="I119" s="16" t="str">
        <f>IF(SUM(IFERROR(IF(VLOOKUP(C119,Data!$H$11:$J$867,3,FALSE)="Yes",1),0),IFERROR(IF(VLOOKUP(G119,Data!$B$11:$F$3178,5,FALSE)="Yes",1,0),0))&gt;0,"Yes","No")</f>
        <v>No</v>
      </c>
      <c r="J119" s="117"/>
      <c r="K119" s="117"/>
      <c r="L119" s="118"/>
      <c r="M119" s="118"/>
      <c r="N119" s="119"/>
      <c r="O119" s="119"/>
      <c r="P119" s="679"/>
      <c r="Q119" s="119"/>
      <c r="R119" s="120"/>
      <c r="S119" s="120"/>
      <c r="T119" s="120"/>
      <c r="U119" s="120"/>
      <c r="V119" s="120"/>
      <c r="W119" s="120"/>
    </row>
    <row r="120" spans="1:23" x14ac:dyDescent="0.25">
      <c r="A120" s="16">
        <v>48</v>
      </c>
      <c r="B120" s="112"/>
      <c r="C120" s="112"/>
      <c r="D120" s="200"/>
      <c r="E120" s="114"/>
      <c r="F120" s="115"/>
      <c r="G120" s="248"/>
      <c r="H120" s="116"/>
      <c r="I120" s="16" t="str">
        <f>IF(SUM(IFERROR(IF(VLOOKUP(C120,Data!$H$11:$J$867,3,FALSE)="Yes",1),0),IFERROR(IF(VLOOKUP(G120,Data!$B$11:$F$3178,5,FALSE)="Yes",1,0),0))&gt;0,"Yes","No")</f>
        <v>No</v>
      </c>
      <c r="J120" s="117"/>
      <c r="K120" s="117"/>
      <c r="L120" s="118"/>
      <c r="M120" s="118"/>
      <c r="N120" s="119"/>
      <c r="O120" s="119"/>
      <c r="P120" s="679"/>
      <c r="Q120" s="119"/>
      <c r="R120" s="120"/>
      <c r="S120" s="120"/>
      <c r="T120" s="120"/>
      <c r="U120" s="120"/>
      <c r="V120" s="120"/>
      <c r="W120" s="120"/>
    </row>
    <row r="121" spans="1:23" x14ac:dyDescent="0.25">
      <c r="A121" s="16">
        <v>49</v>
      </c>
      <c r="B121" s="112"/>
      <c r="C121" s="112"/>
      <c r="D121" s="200"/>
      <c r="E121" s="114"/>
      <c r="F121" s="115"/>
      <c r="G121" s="248"/>
      <c r="H121" s="116"/>
      <c r="I121" s="16" t="str">
        <f>IF(SUM(IFERROR(IF(VLOOKUP(C121,Data!$H$11:$J$867,3,FALSE)="Yes",1),0),IFERROR(IF(VLOOKUP(G121,Data!$B$11:$F$3178,5,FALSE)="Yes",1,0),0))&gt;0,"Yes","No")</f>
        <v>No</v>
      </c>
      <c r="J121" s="117"/>
      <c r="K121" s="117"/>
      <c r="L121" s="118"/>
      <c r="M121" s="118"/>
      <c r="N121" s="119"/>
      <c r="O121" s="119"/>
      <c r="P121" s="679"/>
      <c r="Q121" s="119"/>
      <c r="R121" s="120"/>
      <c r="S121" s="120"/>
      <c r="T121" s="120"/>
      <c r="U121" s="120"/>
      <c r="V121" s="120"/>
      <c r="W121" s="120"/>
    </row>
    <row r="122" spans="1:23" x14ac:dyDescent="0.25">
      <c r="A122" s="16">
        <v>50</v>
      </c>
      <c r="B122" s="112"/>
      <c r="C122" s="112"/>
      <c r="D122" s="200"/>
      <c r="E122" s="114"/>
      <c r="F122" s="115"/>
      <c r="G122" s="248"/>
      <c r="H122" s="116"/>
      <c r="I122" s="16" t="str">
        <f>IF(SUM(IFERROR(IF(VLOOKUP(C122,Data!$H$11:$J$867,3,FALSE)="Yes",1),0),IFERROR(IF(VLOOKUP(G122,Data!$B$11:$F$3178,5,FALSE)="Yes",1,0),0))&gt;0,"Yes","No")</f>
        <v>No</v>
      </c>
      <c r="J122" s="117"/>
      <c r="K122" s="117"/>
      <c r="L122" s="118"/>
      <c r="M122" s="118"/>
      <c r="N122" s="119"/>
      <c r="O122" s="119"/>
      <c r="P122" s="679"/>
      <c r="Q122" s="119"/>
      <c r="R122" s="120"/>
      <c r="S122" s="120"/>
      <c r="T122" s="120"/>
      <c r="U122" s="120"/>
      <c r="V122" s="120"/>
      <c r="W122" s="120"/>
    </row>
    <row r="123" spans="1:23" x14ac:dyDescent="0.25">
      <c r="A123" s="16">
        <v>51</v>
      </c>
      <c r="B123" s="112"/>
      <c r="C123" s="112"/>
      <c r="D123" s="200"/>
      <c r="E123" s="114"/>
      <c r="F123" s="115"/>
      <c r="G123" s="248"/>
      <c r="H123" s="116"/>
      <c r="I123" s="16" t="str">
        <f>IF(SUM(IFERROR(IF(VLOOKUP(C123,Data!$H$11:$J$867,3,FALSE)="Yes",1),0),IFERROR(IF(VLOOKUP(G123,Data!$B$11:$F$3178,5,FALSE)="Yes",1,0),0))&gt;0,"Yes","No")</f>
        <v>No</v>
      </c>
      <c r="J123" s="117"/>
      <c r="K123" s="117"/>
      <c r="L123" s="118"/>
      <c r="M123" s="118"/>
      <c r="N123" s="119"/>
      <c r="O123" s="119"/>
      <c r="P123" s="679"/>
      <c r="Q123" s="119"/>
      <c r="R123" s="120"/>
      <c r="S123" s="120"/>
      <c r="T123" s="120"/>
      <c r="U123" s="120"/>
      <c r="V123" s="120"/>
      <c r="W123" s="120"/>
    </row>
    <row r="124" spans="1:23" x14ac:dyDescent="0.25">
      <c r="A124" s="16">
        <v>52</v>
      </c>
      <c r="B124" s="112"/>
      <c r="C124" s="112"/>
      <c r="D124" s="200"/>
      <c r="E124" s="114"/>
      <c r="F124" s="115"/>
      <c r="G124" s="248"/>
      <c r="H124" s="116"/>
      <c r="I124" s="16" t="str">
        <f>IF(SUM(IFERROR(IF(VLOOKUP(C124,Data!$H$11:$J$867,3,FALSE)="Yes",1),0),IFERROR(IF(VLOOKUP(G124,Data!$B$11:$F$3178,5,FALSE)="Yes",1,0),0))&gt;0,"Yes","No")</f>
        <v>No</v>
      </c>
      <c r="J124" s="117"/>
      <c r="K124" s="117"/>
      <c r="L124" s="118"/>
      <c r="M124" s="118"/>
      <c r="N124" s="119"/>
      <c r="O124" s="119"/>
      <c r="P124" s="679"/>
      <c r="Q124" s="119"/>
      <c r="R124" s="120"/>
      <c r="S124" s="120"/>
      <c r="T124" s="120"/>
      <c r="U124" s="120"/>
      <c r="V124" s="120"/>
      <c r="W124" s="120"/>
    </row>
    <row r="125" spans="1:23" x14ac:dyDescent="0.25">
      <c r="A125" s="16">
        <v>53</v>
      </c>
      <c r="B125" s="112"/>
      <c r="C125" s="112"/>
      <c r="D125" s="200"/>
      <c r="E125" s="114"/>
      <c r="F125" s="115"/>
      <c r="G125" s="248"/>
      <c r="H125" s="116"/>
      <c r="I125" s="16" t="str">
        <f>IF(SUM(IFERROR(IF(VLOOKUP(C125,Data!$H$11:$J$867,3,FALSE)="Yes",1),0),IFERROR(IF(VLOOKUP(G125,Data!$B$11:$F$3178,5,FALSE)="Yes",1,0),0))&gt;0,"Yes","No")</f>
        <v>No</v>
      </c>
      <c r="J125" s="117"/>
      <c r="K125" s="117"/>
      <c r="L125" s="118"/>
      <c r="M125" s="118"/>
      <c r="N125" s="119"/>
      <c r="O125" s="119"/>
      <c r="P125" s="679"/>
      <c r="Q125" s="119"/>
      <c r="R125" s="120"/>
      <c r="S125" s="120"/>
      <c r="T125" s="120"/>
      <c r="U125" s="120"/>
      <c r="V125" s="120"/>
      <c r="W125" s="120"/>
    </row>
    <row r="126" spans="1:23" x14ac:dyDescent="0.25">
      <c r="A126" s="16">
        <v>54</v>
      </c>
      <c r="B126" s="112"/>
      <c r="C126" s="112"/>
      <c r="D126" s="200"/>
      <c r="E126" s="114"/>
      <c r="F126" s="115"/>
      <c r="G126" s="248"/>
      <c r="H126" s="116"/>
      <c r="I126" s="16" t="str">
        <f>IF(SUM(IFERROR(IF(VLOOKUP(C126,Data!$H$11:$J$867,3,FALSE)="Yes",1),0),IFERROR(IF(VLOOKUP(G126,Data!$B$11:$F$3178,5,FALSE)="Yes",1,0),0))&gt;0,"Yes","No")</f>
        <v>No</v>
      </c>
      <c r="J126" s="117"/>
      <c r="K126" s="117"/>
      <c r="L126" s="118"/>
      <c r="M126" s="118"/>
      <c r="N126" s="119"/>
      <c r="O126" s="119"/>
      <c r="P126" s="679"/>
      <c r="Q126" s="119"/>
      <c r="R126" s="120"/>
      <c r="S126" s="120"/>
      <c r="T126" s="120"/>
      <c r="U126" s="120"/>
      <c r="V126" s="120"/>
      <c r="W126" s="120"/>
    </row>
    <row r="127" spans="1:23" x14ac:dyDescent="0.25">
      <c r="A127" s="16">
        <v>55</v>
      </c>
      <c r="B127" s="112"/>
      <c r="C127" s="112"/>
      <c r="D127" s="200"/>
      <c r="E127" s="114"/>
      <c r="F127" s="115"/>
      <c r="G127" s="248"/>
      <c r="H127" s="116"/>
      <c r="I127" s="16" t="str">
        <f>IF(SUM(IFERROR(IF(VLOOKUP(C127,Data!$H$11:$J$867,3,FALSE)="Yes",1),0),IFERROR(IF(VLOOKUP(G127,Data!$B$11:$F$3178,5,FALSE)="Yes",1,0),0))&gt;0,"Yes","No")</f>
        <v>No</v>
      </c>
      <c r="J127" s="117"/>
      <c r="K127" s="117"/>
      <c r="L127" s="118"/>
      <c r="M127" s="118"/>
      <c r="N127" s="119"/>
      <c r="O127" s="119"/>
      <c r="P127" s="679"/>
      <c r="Q127" s="119"/>
      <c r="R127" s="120"/>
      <c r="S127" s="120"/>
      <c r="T127" s="120"/>
      <c r="U127" s="120"/>
      <c r="V127" s="120"/>
      <c r="W127" s="120"/>
    </row>
    <row r="128" spans="1:23" x14ac:dyDescent="0.25">
      <c r="A128" s="16">
        <v>56</v>
      </c>
      <c r="B128" s="112"/>
      <c r="C128" s="112"/>
      <c r="D128" s="200"/>
      <c r="E128" s="114"/>
      <c r="F128" s="115"/>
      <c r="G128" s="248"/>
      <c r="H128" s="116"/>
      <c r="I128" s="16" t="str">
        <f>IF(SUM(IFERROR(IF(VLOOKUP(C128,Data!$H$11:$J$867,3,FALSE)="Yes",1),0),IFERROR(IF(VLOOKUP(G128,Data!$B$11:$F$3178,5,FALSE)="Yes",1,0),0))&gt;0,"Yes","No")</f>
        <v>No</v>
      </c>
      <c r="J128" s="117"/>
      <c r="K128" s="117"/>
      <c r="L128" s="118"/>
      <c r="M128" s="118"/>
      <c r="N128" s="119"/>
      <c r="O128" s="119"/>
      <c r="P128" s="679"/>
      <c r="Q128" s="119"/>
      <c r="R128" s="120"/>
      <c r="S128" s="120"/>
      <c r="T128" s="120"/>
      <c r="U128" s="120"/>
      <c r="V128" s="120"/>
      <c r="W128" s="120"/>
    </row>
    <row r="129" spans="1:23" x14ac:dyDescent="0.25">
      <c r="A129" s="16">
        <v>57</v>
      </c>
      <c r="B129" s="112"/>
      <c r="C129" s="112"/>
      <c r="D129" s="200"/>
      <c r="E129" s="114"/>
      <c r="F129" s="115"/>
      <c r="G129" s="248"/>
      <c r="H129" s="116"/>
      <c r="I129" s="16" t="str">
        <f>IF(SUM(IFERROR(IF(VLOOKUP(C129,Data!$H$11:$J$867,3,FALSE)="Yes",1),0),IFERROR(IF(VLOOKUP(G129,Data!$B$11:$F$3178,5,FALSE)="Yes",1,0),0))&gt;0,"Yes","No")</f>
        <v>No</v>
      </c>
      <c r="J129" s="117"/>
      <c r="K129" s="117"/>
      <c r="L129" s="118"/>
      <c r="M129" s="118"/>
      <c r="N129" s="119"/>
      <c r="O129" s="119"/>
      <c r="P129" s="679"/>
      <c r="Q129" s="119"/>
      <c r="R129" s="120"/>
      <c r="S129" s="120"/>
      <c r="T129" s="120"/>
      <c r="U129" s="120"/>
      <c r="V129" s="120"/>
      <c r="W129" s="120"/>
    </row>
    <row r="130" spans="1:23" x14ac:dyDescent="0.25">
      <c r="A130" s="16">
        <v>58</v>
      </c>
      <c r="B130" s="112"/>
      <c r="C130" s="112"/>
      <c r="D130" s="200"/>
      <c r="E130" s="114"/>
      <c r="F130" s="115"/>
      <c r="G130" s="248"/>
      <c r="H130" s="116"/>
      <c r="I130" s="16" t="str">
        <f>IF(SUM(IFERROR(IF(VLOOKUP(C130,Data!$H$11:$J$867,3,FALSE)="Yes",1),0),IFERROR(IF(VLOOKUP(G130,Data!$B$11:$F$3178,5,FALSE)="Yes",1,0),0))&gt;0,"Yes","No")</f>
        <v>No</v>
      </c>
      <c r="J130" s="117"/>
      <c r="K130" s="117"/>
      <c r="L130" s="118"/>
      <c r="M130" s="118"/>
      <c r="N130" s="119"/>
      <c r="O130" s="119"/>
      <c r="P130" s="679"/>
      <c r="Q130" s="119"/>
      <c r="R130" s="120"/>
      <c r="S130" s="120"/>
      <c r="T130" s="120"/>
      <c r="U130" s="120"/>
      <c r="V130" s="120"/>
      <c r="W130" s="120"/>
    </row>
    <row r="131" spans="1:23" x14ac:dyDescent="0.25">
      <c r="A131" s="16">
        <v>59</v>
      </c>
      <c r="B131" s="112"/>
      <c r="C131" s="112"/>
      <c r="D131" s="200"/>
      <c r="E131" s="114"/>
      <c r="F131" s="115"/>
      <c r="G131" s="248"/>
      <c r="H131" s="116"/>
      <c r="I131" s="16" t="str">
        <f>IF(SUM(IFERROR(IF(VLOOKUP(C131,Data!$H$11:$J$867,3,FALSE)="Yes",1),0),IFERROR(IF(VLOOKUP(G131,Data!$B$11:$F$3178,5,FALSE)="Yes",1,0),0))&gt;0,"Yes","No")</f>
        <v>No</v>
      </c>
      <c r="J131" s="117"/>
      <c r="K131" s="117"/>
      <c r="L131" s="118"/>
      <c r="M131" s="118"/>
      <c r="N131" s="119"/>
      <c r="O131" s="119"/>
      <c r="P131" s="679"/>
      <c r="Q131" s="119"/>
      <c r="R131" s="120"/>
      <c r="S131" s="120"/>
      <c r="T131" s="120"/>
      <c r="U131" s="120"/>
      <c r="V131" s="120"/>
      <c r="W131" s="120"/>
    </row>
    <row r="132" spans="1:23" x14ac:dyDescent="0.25">
      <c r="A132" s="16">
        <v>60</v>
      </c>
      <c r="B132" s="112"/>
      <c r="C132" s="112"/>
      <c r="D132" s="200"/>
      <c r="E132" s="114"/>
      <c r="F132" s="115"/>
      <c r="G132" s="248"/>
      <c r="H132" s="116"/>
      <c r="I132" s="16" t="str">
        <f>IF(SUM(IFERROR(IF(VLOOKUP(C132,Data!$H$11:$J$867,3,FALSE)="Yes",1),0),IFERROR(IF(VLOOKUP(G132,Data!$B$11:$F$3178,5,FALSE)="Yes",1,0),0))&gt;0,"Yes","No")</f>
        <v>No</v>
      </c>
      <c r="J132" s="117"/>
      <c r="K132" s="117"/>
      <c r="L132" s="118"/>
      <c r="M132" s="118"/>
      <c r="N132" s="119"/>
      <c r="O132" s="119"/>
      <c r="P132" s="679"/>
      <c r="Q132" s="119"/>
      <c r="R132" s="120"/>
      <c r="S132" s="120"/>
      <c r="T132" s="120"/>
      <c r="U132" s="120"/>
      <c r="V132" s="120"/>
      <c r="W132" s="120"/>
    </row>
    <row r="133" spans="1:23" x14ac:dyDescent="0.25">
      <c r="A133" s="16">
        <v>61</v>
      </c>
      <c r="B133" s="112"/>
      <c r="C133" s="112"/>
      <c r="D133" s="200"/>
      <c r="E133" s="114"/>
      <c r="F133" s="115"/>
      <c r="G133" s="248"/>
      <c r="H133" s="116"/>
      <c r="I133" s="16" t="str">
        <f>IF(SUM(IFERROR(IF(VLOOKUP(C133,Data!$H$11:$J$867,3,FALSE)="Yes",1),0),IFERROR(IF(VLOOKUP(G133,Data!$B$11:$F$3178,5,FALSE)="Yes",1,0),0))&gt;0,"Yes","No")</f>
        <v>No</v>
      </c>
      <c r="J133" s="117"/>
      <c r="K133" s="117"/>
      <c r="L133" s="118"/>
      <c r="M133" s="118"/>
      <c r="N133" s="119"/>
      <c r="O133" s="119"/>
      <c r="P133" s="679"/>
      <c r="Q133" s="119"/>
      <c r="R133" s="120"/>
      <c r="S133" s="120"/>
      <c r="T133" s="120"/>
      <c r="U133" s="120"/>
      <c r="V133" s="120"/>
      <c r="W133" s="120"/>
    </row>
    <row r="134" spans="1:23" x14ac:dyDescent="0.25">
      <c r="A134" s="16">
        <v>62</v>
      </c>
      <c r="B134" s="112"/>
      <c r="C134" s="112"/>
      <c r="D134" s="200"/>
      <c r="E134" s="114"/>
      <c r="F134" s="115"/>
      <c r="G134" s="248"/>
      <c r="H134" s="116"/>
      <c r="I134" s="16" t="str">
        <f>IF(SUM(IFERROR(IF(VLOOKUP(C134,Data!$H$11:$J$867,3,FALSE)="Yes",1),0),IFERROR(IF(VLOOKUP(G134,Data!$B$11:$F$3178,5,FALSE)="Yes",1,0),0))&gt;0,"Yes","No")</f>
        <v>No</v>
      </c>
      <c r="J134" s="117"/>
      <c r="K134" s="117"/>
      <c r="L134" s="118"/>
      <c r="M134" s="118"/>
      <c r="N134" s="119"/>
      <c r="O134" s="119"/>
      <c r="P134" s="679"/>
      <c r="Q134" s="119"/>
      <c r="R134" s="120"/>
      <c r="S134" s="120"/>
      <c r="T134" s="120"/>
      <c r="U134" s="120"/>
      <c r="V134" s="120"/>
      <c r="W134" s="120"/>
    </row>
    <row r="135" spans="1:23" x14ac:dyDescent="0.25">
      <c r="A135" s="16">
        <v>63</v>
      </c>
      <c r="B135" s="112"/>
      <c r="C135" s="112"/>
      <c r="D135" s="200"/>
      <c r="E135" s="114"/>
      <c r="F135" s="115"/>
      <c r="G135" s="248"/>
      <c r="H135" s="116"/>
      <c r="I135" s="16" t="str">
        <f>IF(SUM(IFERROR(IF(VLOOKUP(C135,Data!$H$11:$J$867,3,FALSE)="Yes",1),0),IFERROR(IF(VLOOKUP(G135,Data!$B$11:$F$3178,5,FALSE)="Yes",1,0),0))&gt;0,"Yes","No")</f>
        <v>No</v>
      </c>
      <c r="J135" s="117"/>
      <c r="K135" s="117"/>
      <c r="L135" s="118"/>
      <c r="M135" s="118"/>
      <c r="N135" s="119"/>
      <c r="O135" s="119"/>
      <c r="P135" s="679"/>
      <c r="Q135" s="119"/>
      <c r="R135" s="120"/>
      <c r="S135" s="120"/>
      <c r="T135" s="120"/>
      <c r="U135" s="120"/>
      <c r="V135" s="120"/>
      <c r="W135" s="120"/>
    </row>
    <row r="136" spans="1:23" x14ac:dyDescent="0.25">
      <c r="A136" s="16">
        <v>64</v>
      </c>
      <c r="B136" s="112"/>
      <c r="C136" s="112"/>
      <c r="D136" s="200"/>
      <c r="E136" s="114"/>
      <c r="F136" s="115"/>
      <c r="G136" s="248"/>
      <c r="H136" s="116"/>
      <c r="I136" s="16" t="str">
        <f>IF(SUM(IFERROR(IF(VLOOKUP(C136,Data!$H$11:$J$867,3,FALSE)="Yes",1),0),IFERROR(IF(VLOOKUP(G136,Data!$B$11:$F$3178,5,FALSE)="Yes",1,0),0))&gt;0,"Yes","No")</f>
        <v>No</v>
      </c>
      <c r="J136" s="117"/>
      <c r="K136" s="117"/>
      <c r="L136" s="118"/>
      <c r="M136" s="118"/>
      <c r="N136" s="119"/>
      <c r="O136" s="119"/>
      <c r="P136" s="679"/>
      <c r="Q136" s="119"/>
      <c r="R136" s="120"/>
      <c r="S136" s="120"/>
      <c r="T136" s="120"/>
      <c r="U136" s="120"/>
      <c r="V136" s="120"/>
      <c r="W136" s="120"/>
    </row>
    <row r="137" spans="1:23" s="144" customFormat="1" x14ac:dyDescent="0.25">
      <c r="A137" s="16">
        <v>65</v>
      </c>
      <c r="B137" s="112"/>
      <c r="C137" s="112"/>
      <c r="D137" s="200"/>
      <c r="E137" s="114"/>
      <c r="F137" s="115"/>
      <c r="G137" s="248"/>
      <c r="H137" s="116"/>
      <c r="I137" s="16" t="str">
        <f>IF(SUM(IFERROR(IF(VLOOKUP(C137,Data!$H$11:$J$867,3,FALSE)="Yes",1),0),IFERROR(IF(VLOOKUP(G137,Data!$B$11:$F$3178,5,FALSE)="Yes",1,0),0))&gt;0,"Yes","No")</f>
        <v>No</v>
      </c>
      <c r="J137" s="117"/>
      <c r="K137" s="117"/>
      <c r="L137" s="118"/>
      <c r="M137" s="118"/>
      <c r="N137" s="119"/>
      <c r="O137" s="119"/>
      <c r="P137" s="679"/>
      <c r="Q137" s="119"/>
      <c r="R137" s="120"/>
      <c r="S137" s="120"/>
      <c r="T137" s="120"/>
      <c r="U137" s="120"/>
      <c r="V137" s="120"/>
      <c r="W137" s="120"/>
    </row>
    <row r="138" spans="1:23" x14ac:dyDescent="0.25">
      <c r="A138" s="16">
        <v>66</v>
      </c>
      <c r="B138" s="112"/>
      <c r="C138" s="112"/>
      <c r="D138" s="200"/>
      <c r="E138" s="114"/>
      <c r="F138" s="115"/>
      <c r="G138" s="248"/>
      <c r="H138" s="116"/>
      <c r="I138" s="16" t="str">
        <f>IF(SUM(IFERROR(IF(VLOOKUP(C138,Data!$H$11:$J$867,3,FALSE)="Yes",1),0),IFERROR(IF(VLOOKUP(G138,Data!$B$11:$F$3178,5,FALSE)="Yes",1,0),0))&gt;0,"Yes","No")</f>
        <v>No</v>
      </c>
      <c r="J138" s="117"/>
      <c r="K138" s="117"/>
      <c r="L138" s="118"/>
      <c r="M138" s="118"/>
      <c r="N138" s="119"/>
      <c r="O138" s="119"/>
      <c r="P138" s="679"/>
      <c r="Q138" s="119"/>
      <c r="R138" s="120"/>
      <c r="S138" s="120"/>
      <c r="T138" s="120"/>
      <c r="U138" s="120"/>
      <c r="V138" s="120"/>
      <c r="W138" s="120"/>
    </row>
    <row r="139" spans="1:23" x14ac:dyDescent="0.25">
      <c r="A139" s="16">
        <v>67</v>
      </c>
      <c r="B139" s="112"/>
      <c r="C139" s="112"/>
      <c r="D139" s="200"/>
      <c r="E139" s="114"/>
      <c r="F139" s="115"/>
      <c r="G139" s="248"/>
      <c r="H139" s="116"/>
      <c r="I139" s="16" t="str">
        <f>IF(SUM(IFERROR(IF(VLOOKUP(C139,Data!$H$11:$J$867,3,FALSE)="Yes",1),0),IFERROR(IF(VLOOKUP(G139,Data!$B$11:$F$3178,5,FALSE)="Yes",1,0),0))&gt;0,"Yes","No")</f>
        <v>No</v>
      </c>
      <c r="J139" s="117"/>
      <c r="K139" s="117"/>
      <c r="L139" s="118"/>
      <c r="M139" s="118"/>
      <c r="N139" s="119"/>
      <c r="O139" s="119"/>
      <c r="P139" s="679"/>
      <c r="Q139" s="119"/>
      <c r="R139" s="120"/>
      <c r="S139" s="120"/>
      <c r="T139" s="120"/>
      <c r="U139" s="120"/>
      <c r="V139" s="120"/>
      <c r="W139" s="120"/>
    </row>
    <row r="140" spans="1:23" x14ac:dyDescent="0.25">
      <c r="A140" s="16">
        <v>68</v>
      </c>
      <c r="B140" s="112"/>
      <c r="C140" s="112"/>
      <c r="D140" s="200"/>
      <c r="E140" s="114"/>
      <c r="F140" s="115"/>
      <c r="G140" s="248"/>
      <c r="H140" s="116"/>
      <c r="I140" s="16" t="str">
        <f>IF(SUM(IFERROR(IF(VLOOKUP(C140,Data!$H$11:$J$867,3,FALSE)="Yes",1),0),IFERROR(IF(VLOOKUP(G140,Data!$B$11:$F$3178,5,FALSE)="Yes",1,0),0))&gt;0,"Yes","No")</f>
        <v>No</v>
      </c>
      <c r="J140" s="117"/>
      <c r="K140" s="117"/>
      <c r="L140" s="118"/>
      <c r="M140" s="118"/>
      <c r="N140" s="119"/>
      <c r="O140" s="119"/>
      <c r="P140" s="679"/>
      <c r="Q140" s="119"/>
      <c r="R140" s="120"/>
      <c r="S140" s="120"/>
      <c r="T140" s="120"/>
      <c r="U140" s="120"/>
      <c r="V140" s="120"/>
      <c r="W140" s="120"/>
    </row>
    <row r="141" spans="1:23" x14ac:dyDescent="0.25">
      <c r="A141" s="16">
        <v>69</v>
      </c>
      <c r="B141" s="112"/>
      <c r="C141" s="112"/>
      <c r="D141" s="200"/>
      <c r="E141" s="114"/>
      <c r="F141" s="115"/>
      <c r="G141" s="248"/>
      <c r="H141" s="116"/>
      <c r="I141" s="16" t="str">
        <f>IF(SUM(IFERROR(IF(VLOOKUP(C141,Data!$H$11:$J$867,3,FALSE)="Yes",1),0),IFERROR(IF(VLOOKUP(G141,Data!$B$11:$F$3178,5,FALSE)="Yes",1,0),0))&gt;0,"Yes","No")</f>
        <v>No</v>
      </c>
      <c r="J141" s="117"/>
      <c r="K141" s="117"/>
      <c r="L141" s="118"/>
      <c r="M141" s="118"/>
      <c r="N141" s="119"/>
      <c r="O141" s="119"/>
      <c r="P141" s="679"/>
      <c r="Q141" s="119"/>
      <c r="R141" s="120"/>
      <c r="S141" s="120"/>
      <c r="T141" s="120"/>
      <c r="U141" s="120"/>
      <c r="V141" s="120"/>
      <c r="W141" s="120"/>
    </row>
    <row r="142" spans="1:23" x14ac:dyDescent="0.25">
      <c r="A142" s="16">
        <v>70</v>
      </c>
      <c r="B142" s="112"/>
      <c r="C142" s="112"/>
      <c r="D142" s="200"/>
      <c r="E142" s="114"/>
      <c r="F142" s="115"/>
      <c r="G142" s="248"/>
      <c r="H142" s="116"/>
      <c r="I142" s="16" t="str">
        <f>IF(SUM(IFERROR(IF(VLOOKUP(C142,Data!$H$11:$J$867,3,FALSE)="Yes",1),0),IFERROR(IF(VLOOKUP(G142,Data!$B$11:$F$3178,5,FALSE)="Yes",1,0),0))&gt;0,"Yes","No")</f>
        <v>No</v>
      </c>
      <c r="J142" s="117"/>
      <c r="K142" s="117"/>
      <c r="L142" s="118"/>
      <c r="M142" s="118"/>
      <c r="N142" s="119"/>
      <c r="O142" s="119"/>
      <c r="P142" s="679"/>
      <c r="Q142" s="119"/>
      <c r="R142" s="120"/>
      <c r="S142" s="120"/>
      <c r="T142" s="120"/>
      <c r="U142" s="120"/>
      <c r="V142" s="120"/>
      <c r="W142" s="120"/>
    </row>
    <row r="143" spans="1:23" x14ac:dyDescent="0.25">
      <c r="A143" s="16">
        <v>71</v>
      </c>
      <c r="B143" s="112"/>
      <c r="C143" s="112"/>
      <c r="D143" s="200"/>
      <c r="E143" s="114"/>
      <c r="F143" s="115"/>
      <c r="G143" s="248"/>
      <c r="H143" s="116"/>
      <c r="I143" s="16" t="str">
        <f>IF(SUM(IFERROR(IF(VLOOKUP(C143,Data!$H$11:$J$867,3,FALSE)="Yes",1),0),IFERROR(IF(VLOOKUP(G143,Data!$B$11:$F$3178,5,FALSE)="Yes",1,0),0))&gt;0,"Yes","No")</f>
        <v>No</v>
      </c>
      <c r="J143" s="117"/>
      <c r="K143" s="117"/>
      <c r="L143" s="118"/>
      <c r="M143" s="118"/>
      <c r="N143" s="119"/>
      <c r="O143" s="119"/>
      <c r="P143" s="679"/>
      <c r="Q143" s="119"/>
      <c r="R143" s="120"/>
      <c r="S143" s="120"/>
      <c r="T143" s="120"/>
      <c r="U143" s="120"/>
      <c r="V143" s="120"/>
      <c r="W143" s="120"/>
    </row>
    <row r="144" spans="1:23" x14ac:dyDescent="0.25">
      <c r="A144" s="16">
        <v>72</v>
      </c>
      <c r="B144" s="112"/>
      <c r="C144" s="112"/>
      <c r="D144" s="200"/>
      <c r="E144" s="114"/>
      <c r="F144" s="115"/>
      <c r="G144" s="248"/>
      <c r="H144" s="116"/>
      <c r="I144" s="16" t="str">
        <f>IF(SUM(IFERROR(IF(VLOOKUP(C144,Data!$H$11:$J$867,3,FALSE)="Yes",1),0),IFERROR(IF(VLOOKUP(G144,Data!$B$11:$F$3178,5,FALSE)="Yes",1,0),0))&gt;0,"Yes","No")</f>
        <v>No</v>
      </c>
      <c r="J144" s="117"/>
      <c r="K144" s="117"/>
      <c r="L144" s="118"/>
      <c r="M144" s="118"/>
      <c r="N144" s="119"/>
      <c r="O144" s="119"/>
      <c r="P144" s="679"/>
      <c r="Q144" s="119"/>
      <c r="R144" s="120"/>
      <c r="S144" s="120"/>
      <c r="T144" s="120"/>
      <c r="U144" s="120"/>
      <c r="V144" s="120"/>
      <c r="W144" s="120"/>
    </row>
    <row r="145" spans="1:23" x14ac:dyDescent="0.25">
      <c r="A145" s="16">
        <v>73</v>
      </c>
      <c r="B145" s="112"/>
      <c r="C145" s="112"/>
      <c r="D145" s="200"/>
      <c r="E145" s="114"/>
      <c r="F145" s="115"/>
      <c r="G145" s="248"/>
      <c r="H145" s="116"/>
      <c r="I145" s="16" t="str">
        <f>IF(SUM(IFERROR(IF(VLOOKUP(C145,Data!$H$11:$J$867,3,FALSE)="Yes",1),0),IFERROR(IF(VLOOKUP(G145,Data!$B$11:$F$3178,5,FALSE)="Yes",1,0),0))&gt;0,"Yes","No")</f>
        <v>No</v>
      </c>
      <c r="J145" s="117"/>
      <c r="K145" s="117"/>
      <c r="L145" s="118"/>
      <c r="M145" s="118"/>
      <c r="N145" s="119"/>
      <c r="O145" s="119"/>
      <c r="P145" s="679"/>
      <c r="Q145" s="119"/>
      <c r="R145" s="120"/>
      <c r="S145" s="120"/>
      <c r="T145" s="120"/>
      <c r="U145" s="120"/>
      <c r="V145" s="120"/>
      <c r="W145" s="120"/>
    </row>
    <row r="146" spans="1:23" x14ac:dyDescent="0.25">
      <c r="A146" s="16">
        <v>74</v>
      </c>
      <c r="B146" s="112"/>
      <c r="C146" s="112"/>
      <c r="D146" s="200"/>
      <c r="E146" s="114"/>
      <c r="F146" s="115"/>
      <c r="G146" s="248"/>
      <c r="H146" s="116"/>
      <c r="I146" s="16" t="str">
        <f>IF(SUM(IFERROR(IF(VLOOKUP(C146,Data!$H$11:$J$867,3,FALSE)="Yes",1),0),IFERROR(IF(VLOOKUP(G146,Data!$B$11:$F$3178,5,FALSE)="Yes",1,0),0))&gt;0,"Yes","No")</f>
        <v>No</v>
      </c>
      <c r="J146" s="117"/>
      <c r="K146" s="117"/>
      <c r="L146" s="118"/>
      <c r="M146" s="118"/>
      <c r="N146" s="119"/>
      <c r="O146" s="119"/>
      <c r="P146" s="679"/>
      <c r="Q146" s="119"/>
      <c r="R146" s="120"/>
      <c r="S146" s="120"/>
      <c r="T146" s="120"/>
      <c r="U146" s="120"/>
      <c r="V146" s="120"/>
      <c r="W146" s="120"/>
    </row>
    <row r="147" spans="1:23" x14ac:dyDescent="0.25">
      <c r="A147" s="16">
        <v>75</v>
      </c>
      <c r="B147" s="112"/>
      <c r="C147" s="112"/>
      <c r="D147" s="200"/>
      <c r="E147" s="114"/>
      <c r="F147" s="115"/>
      <c r="G147" s="248"/>
      <c r="H147" s="116"/>
      <c r="I147" s="16" t="str">
        <f>IF(SUM(IFERROR(IF(VLOOKUP(C147,Data!$H$11:$J$867,3,FALSE)="Yes",1),0),IFERROR(IF(VLOOKUP(G147,Data!$B$11:$F$3178,5,FALSE)="Yes",1,0),0))&gt;0,"Yes","No")</f>
        <v>No</v>
      </c>
      <c r="J147" s="117"/>
      <c r="K147" s="117"/>
      <c r="L147" s="118"/>
      <c r="M147" s="118"/>
      <c r="N147" s="119"/>
      <c r="O147" s="119"/>
      <c r="P147" s="679"/>
      <c r="Q147" s="119"/>
      <c r="R147" s="120"/>
      <c r="S147" s="120"/>
      <c r="T147" s="120"/>
      <c r="U147" s="120"/>
      <c r="V147" s="120"/>
      <c r="W147" s="120"/>
    </row>
    <row r="148" spans="1:23" x14ac:dyDescent="0.25">
      <c r="A148" s="16">
        <v>76</v>
      </c>
      <c r="B148" s="112"/>
      <c r="C148" s="112"/>
      <c r="D148" s="200"/>
      <c r="E148" s="114"/>
      <c r="F148" s="115"/>
      <c r="G148" s="248"/>
      <c r="H148" s="116"/>
      <c r="I148" s="16" t="str">
        <f>IF(SUM(IFERROR(IF(VLOOKUP(C148,Data!$H$11:$J$867,3,FALSE)="Yes",1),0),IFERROR(IF(VLOOKUP(G148,Data!$B$11:$F$3178,5,FALSE)="Yes",1,0),0))&gt;0,"Yes","No")</f>
        <v>No</v>
      </c>
      <c r="J148" s="117"/>
      <c r="K148" s="117"/>
      <c r="L148" s="118"/>
      <c r="M148" s="118"/>
      <c r="N148" s="119"/>
      <c r="O148" s="119"/>
      <c r="P148" s="679"/>
      <c r="Q148" s="119"/>
      <c r="R148" s="120"/>
      <c r="S148" s="120"/>
      <c r="T148" s="120"/>
      <c r="U148" s="120"/>
      <c r="V148" s="120"/>
      <c r="W148" s="120"/>
    </row>
    <row r="149" spans="1:23" x14ac:dyDescent="0.25">
      <c r="A149" s="16">
        <v>77</v>
      </c>
      <c r="B149" s="112"/>
      <c r="C149" s="112"/>
      <c r="D149" s="200"/>
      <c r="E149" s="114"/>
      <c r="F149" s="115"/>
      <c r="G149" s="248"/>
      <c r="H149" s="116"/>
      <c r="I149" s="16" t="str">
        <f>IF(SUM(IFERROR(IF(VLOOKUP(C149,Data!$H$11:$J$867,3,FALSE)="Yes",1),0),IFERROR(IF(VLOOKUP(G149,Data!$B$11:$F$3178,5,FALSE)="Yes",1,0),0))&gt;0,"Yes","No")</f>
        <v>No</v>
      </c>
      <c r="J149" s="117"/>
      <c r="K149" s="117"/>
      <c r="L149" s="118"/>
      <c r="M149" s="118"/>
      <c r="N149" s="119"/>
      <c r="O149" s="119"/>
      <c r="P149" s="679"/>
      <c r="Q149" s="119"/>
      <c r="R149" s="120"/>
      <c r="S149" s="120"/>
      <c r="T149" s="120"/>
      <c r="U149" s="120"/>
      <c r="V149" s="120"/>
      <c r="W149" s="120"/>
    </row>
    <row r="150" spans="1:23" x14ac:dyDescent="0.25">
      <c r="A150" s="16">
        <v>78</v>
      </c>
      <c r="B150" s="112"/>
      <c r="C150" s="112"/>
      <c r="D150" s="200"/>
      <c r="E150" s="114"/>
      <c r="F150" s="115"/>
      <c r="G150" s="248"/>
      <c r="H150" s="116"/>
      <c r="I150" s="16" t="str">
        <f>IF(SUM(IFERROR(IF(VLOOKUP(C150,Data!$H$11:$J$867,3,FALSE)="Yes",1),0),IFERROR(IF(VLOOKUP(G150,Data!$B$11:$F$3178,5,FALSE)="Yes",1,0),0))&gt;0,"Yes","No")</f>
        <v>No</v>
      </c>
      <c r="J150" s="117"/>
      <c r="K150" s="117"/>
      <c r="L150" s="118"/>
      <c r="M150" s="118"/>
      <c r="N150" s="119"/>
      <c r="O150" s="119"/>
      <c r="P150" s="679"/>
      <c r="Q150" s="119"/>
      <c r="R150" s="120"/>
      <c r="S150" s="120"/>
      <c r="T150" s="120"/>
      <c r="U150" s="120"/>
      <c r="V150" s="120"/>
      <c r="W150" s="120"/>
    </row>
    <row r="151" spans="1:23" x14ac:dyDescent="0.25">
      <c r="A151" s="16">
        <v>79</v>
      </c>
      <c r="B151" s="112"/>
      <c r="C151" s="112"/>
      <c r="D151" s="200"/>
      <c r="E151" s="114"/>
      <c r="F151" s="115"/>
      <c r="G151" s="248"/>
      <c r="H151" s="116"/>
      <c r="I151" s="16" t="str">
        <f>IF(SUM(IFERROR(IF(VLOOKUP(C151,Data!$H$11:$J$867,3,FALSE)="Yes",1),0),IFERROR(IF(VLOOKUP(G151,Data!$B$11:$F$3178,5,FALSE)="Yes",1,0),0))&gt;0,"Yes","No")</f>
        <v>No</v>
      </c>
      <c r="J151" s="117"/>
      <c r="K151" s="117"/>
      <c r="L151" s="118"/>
      <c r="M151" s="118"/>
      <c r="N151" s="119"/>
      <c r="O151" s="119"/>
      <c r="P151" s="679"/>
      <c r="Q151" s="119"/>
      <c r="R151" s="120"/>
      <c r="S151" s="120"/>
      <c r="T151" s="120"/>
      <c r="U151" s="120"/>
      <c r="V151" s="120"/>
      <c r="W151" s="120"/>
    </row>
    <row r="152" spans="1:23" s="144" customFormat="1" x14ac:dyDescent="0.25">
      <c r="A152" s="16">
        <v>80</v>
      </c>
      <c r="B152" s="112"/>
      <c r="C152" s="112"/>
      <c r="D152" s="200"/>
      <c r="E152" s="114"/>
      <c r="F152" s="115"/>
      <c r="G152" s="248"/>
      <c r="H152" s="116"/>
      <c r="I152" s="16" t="str">
        <f>IF(SUM(IFERROR(IF(VLOOKUP(C152,Data!$H$11:$J$867,3,FALSE)="Yes",1),0),IFERROR(IF(VLOOKUP(G152,Data!$B$11:$F$3178,5,FALSE)="Yes",1,0),0))&gt;0,"Yes","No")</f>
        <v>No</v>
      </c>
      <c r="J152" s="117"/>
      <c r="K152" s="117"/>
      <c r="L152" s="118"/>
      <c r="M152" s="118"/>
      <c r="N152" s="119"/>
      <c r="O152" s="119"/>
      <c r="P152" s="679"/>
      <c r="Q152" s="119"/>
      <c r="R152" s="120"/>
      <c r="S152" s="120"/>
      <c r="T152" s="120"/>
      <c r="U152" s="120"/>
      <c r="V152" s="120"/>
      <c r="W152" s="120"/>
    </row>
    <row r="153" spans="1:23" x14ac:dyDescent="0.25">
      <c r="A153" s="16">
        <v>81</v>
      </c>
      <c r="B153" s="112"/>
      <c r="C153" s="112"/>
      <c r="D153" s="200"/>
      <c r="E153" s="114"/>
      <c r="F153" s="115"/>
      <c r="G153" s="248"/>
      <c r="H153" s="116"/>
      <c r="I153" s="16" t="str">
        <f>IF(SUM(IFERROR(IF(VLOOKUP(C153,Data!$H$11:$J$867,3,FALSE)="Yes",1),0),IFERROR(IF(VLOOKUP(G153,Data!$B$11:$F$3178,5,FALSE)="Yes",1,0),0))&gt;0,"Yes","No")</f>
        <v>No</v>
      </c>
      <c r="J153" s="117"/>
      <c r="K153" s="117"/>
      <c r="L153" s="118"/>
      <c r="M153" s="118"/>
      <c r="N153" s="119"/>
      <c r="O153" s="119"/>
      <c r="P153" s="679"/>
      <c r="Q153" s="119"/>
      <c r="R153" s="120"/>
      <c r="S153" s="120"/>
      <c r="T153" s="120"/>
      <c r="U153" s="120"/>
      <c r="V153" s="120"/>
      <c r="W153" s="120"/>
    </row>
    <row r="154" spans="1:23" x14ac:dyDescent="0.25">
      <c r="A154" s="16">
        <v>82</v>
      </c>
      <c r="B154" s="112"/>
      <c r="C154" s="112"/>
      <c r="D154" s="200"/>
      <c r="E154" s="114"/>
      <c r="F154" s="115"/>
      <c r="G154" s="248"/>
      <c r="H154" s="116"/>
      <c r="I154" s="16" t="str">
        <f>IF(SUM(IFERROR(IF(VLOOKUP(C154,Data!$H$11:$J$867,3,FALSE)="Yes",1),0),IFERROR(IF(VLOOKUP(G154,Data!$B$11:$F$3178,5,FALSE)="Yes",1,0),0))&gt;0,"Yes","No")</f>
        <v>No</v>
      </c>
      <c r="J154" s="117"/>
      <c r="K154" s="117"/>
      <c r="L154" s="118"/>
      <c r="M154" s="118"/>
      <c r="N154" s="119"/>
      <c r="O154" s="119"/>
      <c r="P154" s="679"/>
      <c r="Q154" s="119"/>
      <c r="R154" s="120"/>
      <c r="S154" s="120"/>
      <c r="T154" s="120"/>
      <c r="U154" s="120"/>
      <c r="V154" s="120"/>
      <c r="W154" s="120"/>
    </row>
    <row r="155" spans="1:23" x14ac:dyDescent="0.25">
      <c r="A155" s="16">
        <v>83</v>
      </c>
      <c r="B155" s="112"/>
      <c r="C155" s="112"/>
      <c r="D155" s="200"/>
      <c r="E155" s="114"/>
      <c r="F155" s="115"/>
      <c r="G155" s="248"/>
      <c r="H155" s="116"/>
      <c r="I155" s="16" t="str">
        <f>IF(SUM(IFERROR(IF(VLOOKUP(C155,Data!$H$11:$J$867,3,FALSE)="Yes",1),0),IFERROR(IF(VLOOKUP(G155,Data!$B$11:$F$3178,5,FALSE)="Yes",1,0),0))&gt;0,"Yes","No")</f>
        <v>No</v>
      </c>
      <c r="J155" s="117"/>
      <c r="K155" s="117"/>
      <c r="L155" s="118"/>
      <c r="M155" s="118"/>
      <c r="N155" s="119"/>
      <c r="O155" s="119"/>
      <c r="P155" s="679"/>
      <c r="Q155" s="119"/>
      <c r="R155" s="120"/>
      <c r="S155" s="120"/>
      <c r="T155" s="120"/>
      <c r="U155" s="120"/>
      <c r="V155" s="120"/>
      <c r="W155" s="120"/>
    </row>
    <row r="156" spans="1:23" x14ac:dyDescent="0.25">
      <c r="A156" s="16">
        <v>84</v>
      </c>
      <c r="B156" s="112"/>
      <c r="C156" s="112"/>
      <c r="D156" s="200"/>
      <c r="E156" s="114"/>
      <c r="F156" s="115"/>
      <c r="G156" s="248"/>
      <c r="H156" s="116"/>
      <c r="I156" s="16" t="str">
        <f>IF(SUM(IFERROR(IF(VLOOKUP(C156,Data!$H$11:$J$867,3,FALSE)="Yes",1),0),IFERROR(IF(VLOOKUP(G156,Data!$B$11:$F$3178,5,FALSE)="Yes",1,0),0))&gt;0,"Yes","No")</f>
        <v>No</v>
      </c>
      <c r="J156" s="117"/>
      <c r="K156" s="117"/>
      <c r="L156" s="118"/>
      <c r="M156" s="118"/>
      <c r="N156" s="119"/>
      <c r="O156" s="119"/>
      <c r="P156" s="679"/>
      <c r="Q156" s="119"/>
      <c r="R156" s="120"/>
      <c r="S156" s="120"/>
      <c r="T156" s="120"/>
      <c r="U156" s="120"/>
      <c r="V156" s="120"/>
      <c r="W156" s="120"/>
    </row>
    <row r="157" spans="1:23" s="144" customFormat="1" x14ac:dyDescent="0.25">
      <c r="A157" s="16">
        <v>85</v>
      </c>
      <c r="B157" s="112"/>
      <c r="C157" s="112"/>
      <c r="D157" s="200"/>
      <c r="E157" s="114"/>
      <c r="F157" s="115"/>
      <c r="G157" s="248"/>
      <c r="H157" s="116"/>
      <c r="I157" s="16" t="str">
        <f>IF(SUM(IFERROR(IF(VLOOKUP(C157,Data!$H$11:$J$867,3,FALSE)="Yes",1),0),IFERROR(IF(VLOOKUP(G157,Data!$B$11:$F$3178,5,FALSE)="Yes",1,0),0))&gt;0,"Yes","No")</f>
        <v>No</v>
      </c>
      <c r="J157" s="117"/>
      <c r="K157" s="117"/>
      <c r="L157" s="118"/>
      <c r="M157" s="118"/>
      <c r="N157" s="119"/>
      <c r="O157" s="119"/>
      <c r="P157" s="679"/>
      <c r="Q157" s="119"/>
      <c r="R157" s="120"/>
      <c r="S157" s="120"/>
      <c r="T157" s="120"/>
      <c r="U157" s="120"/>
      <c r="V157" s="120"/>
      <c r="W157" s="120"/>
    </row>
    <row r="158" spans="1:23" x14ac:dyDescent="0.25">
      <c r="A158" s="16">
        <v>86</v>
      </c>
      <c r="B158" s="112"/>
      <c r="C158" s="112"/>
      <c r="D158" s="200"/>
      <c r="E158" s="114"/>
      <c r="F158" s="115"/>
      <c r="G158" s="248"/>
      <c r="H158" s="116"/>
      <c r="I158" s="16" t="str">
        <f>IF(SUM(IFERROR(IF(VLOOKUP(C158,Data!$H$11:$J$867,3,FALSE)="Yes",1),0),IFERROR(IF(VLOOKUP(G158,Data!$B$11:$F$3178,5,FALSE)="Yes",1,0),0))&gt;0,"Yes","No")</f>
        <v>No</v>
      </c>
      <c r="J158" s="117"/>
      <c r="K158" s="117"/>
      <c r="L158" s="118"/>
      <c r="M158" s="118"/>
      <c r="N158" s="119"/>
      <c r="O158" s="119"/>
      <c r="P158" s="679"/>
      <c r="Q158" s="119"/>
      <c r="R158" s="120"/>
      <c r="S158" s="120"/>
      <c r="T158" s="120"/>
      <c r="U158" s="120"/>
      <c r="V158" s="120"/>
      <c r="W158" s="120"/>
    </row>
    <row r="159" spans="1:23" x14ac:dyDescent="0.25">
      <c r="A159" s="16">
        <v>87</v>
      </c>
      <c r="B159" s="112"/>
      <c r="C159" s="112"/>
      <c r="D159" s="200"/>
      <c r="E159" s="114"/>
      <c r="F159" s="115"/>
      <c r="G159" s="248"/>
      <c r="H159" s="116"/>
      <c r="I159" s="16" t="str">
        <f>IF(SUM(IFERROR(IF(VLOOKUP(C159,Data!$H$11:$J$867,3,FALSE)="Yes",1),0),IFERROR(IF(VLOOKUP(G159,Data!$B$11:$F$3178,5,FALSE)="Yes",1,0),0))&gt;0,"Yes","No")</f>
        <v>No</v>
      </c>
      <c r="J159" s="117"/>
      <c r="K159" s="117"/>
      <c r="L159" s="118"/>
      <c r="M159" s="118"/>
      <c r="N159" s="119"/>
      <c r="O159" s="119"/>
      <c r="P159" s="679"/>
      <c r="Q159" s="119"/>
      <c r="R159" s="120"/>
      <c r="S159" s="120"/>
      <c r="T159" s="120"/>
      <c r="U159" s="120"/>
      <c r="V159" s="120"/>
      <c r="W159" s="120"/>
    </row>
    <row r="160" spans="1:23" x14ac:dyDescent="0.25">
      <c r="A160" s="16">
        <v>88</v>
      </c>
      <c r="B160" s="112"/>
      <c r="C160" s="112"/>
      <c r="D160" s="200"/>
      <c r="E160" s="114"/>
      <c r="F160" s="115"/>
      <c r="G160" s="248"/>
      <c r="H160" s="116"/>
      <c r="I160" s="16" t="str">
        <f>IF(SUM(IFERROR(IF(VLOOKUP(C160,Data!$H$11:$J$867,3,FALSE)="Yes",1),0),IFERROR(IF(VLOOKUP(G160,Data!$B$11:$F$3178,5,FALSE)="Yes",1,0),0))&gt;0,"Yes","No")</f>
        <v>No</v>
      </c>
      <c r="J160" s="117"/>
      <c r="K160" s="117"/>
      <c r="L160" s="118"/>
      <c r="M160" s="118"/>
      <c r="N160" s="119"/>
      <c r="O160" s="119"/>
      <c r="P160" s="679"/>
      <c r="Q160" s="119"/>
      <c r="R160" s="120"/>
      <c r="S160" s="120"/>
      <c r="T160" s="120"/>
      <c r="U160" s="120"/>
      <c r="V160" s="120"/>
      <c r="W160" s="120"/>
    </row>
    <row r="161" spans="1:23" x14ac:dyDescent="0.25">
      <c r="A161" s="16">
        <v>89</v>
      </c>
      <c r="B161" s="112"/>
      <c r="C161" s="112"/>
      <c r="D161" s="200"/>
      <c r="E161" s="114"/>
      <c r="F161" s="115"/>
      <c r="G161" s="248"/>
      <c r="H161" s="116"/>
      <c r="I161" s="16" t="str">
        <f>IF(SUM(IFERROR(IF(VLOOKUP(C161,Data!$H$11:$J$867,3,FALSE)="Yes",1),0),IFERROR(IF(VLOOKUP(G161,Data!$B$11:$F$3178,5,FALSE)="Yes",1,0),0))&gt;0,"Yes","No")</f>
        <v>No</v>
      </c>
      <c r="J161" s="117"/>
      <c r="K161" s="117"/>
      <c r="L161" s="118"/>
      <c r="M161" s="118"/>
      <c r="N161" s="119"/>
      <c r="O161" s="119"/>
      <c r="P161" s="679"/>
      <c r="Q161" s="119"/>
      <c r="R161" s="120"/>
      <c r="S161" s="120"/>
      <c r="T161" s="120"/>
      <c r="U161" s="120"/>
      <c r="V161" s="120"/>
      <c r="W161" s="120"/>
    </row>
    <row r="162" spans="1:23" x14ac:dyDescent="0.25">
      <c r="A162" s="16">
        <v>90</v>
      </c>
      <c r="B162" s="112"/>
      <c r="C162" s="112"/>
      <c r="D162" s="200"/>
      <c r="E162" s="114"/>
      <c r="F162" s="115"/>
      <c r="G162" s="248"/>
      <c r="H162" s="116"/>
      <c r="I162" s="16" t="str">
        <f>IF(SUM(IFERROR(IF(VLOOKUP(C162,Data!$H$11:$J$867,3,FALSE)="Yes",1),0),IFERROR(IF(VLOOKUP(G162,Data!$B$11:$F$3178,5,FALSE)="Yes",1,0),0))&gt;0,"Yes","No")</f>
        <v>No</v>
      </c>
      <c r="J162" s="117"/>
      <c r="K162" s="117"/>
      <c r="L162" s="118"/>
      <c r="M162" s="118"/>
      <c r="N162" s="119"/>
      <c r="O162" s="119"/>
      <c r="P162" s="679"/>
      <c r="Q162" s="119"/>
      <c r="R162" s="120"/>
      <c r="S162" s="120"/>
      <c r="T162" s="120"/>
      <c r="U162" s="120"/>
      <c r="V162" s="120"/>
      <c r="W162" s="120"/>
    </row>
    <row r="163" spans="1:23" x14ac:dyDescent="0.25">
      <c r="A163" s="16">
        <v>91</v>
      </c>
      <c r="B163" s="112"/>
      <c r="C163" s="112"/>
      <c r="D163" s="200"/>
      <c r="E163" s="114"/>
      <c r="F163" s="115"/>
      <c r="G163" s="248"/>
      <c r="H163" s="116"/>
      <c r="I163" s="16" t="str">
        <f>IF(SUM(IFERROR(IF(VLOOKUP(C163,Data!$H$11:$J$867,3,FALSE)="Yes",1),0),IFERROR(IF(VLOOKUP(G163,Data!$B$11:$F$3178,5,FALSE)="Yes",1,0),0))&gt;0,"Yes","No")</f>
        <v>No</v>
      </c>
      <c r="J163" s="117"/>
      <c r="K163" s="117"/>
      <c r="L163" s="118"/>
      <c r="M163" s="118"/>
      <c r="N163" s="119"/>
      <c r="O163" s="119"/>
      <c r="P163" s="679"/>
      <c r="Q163" s="119"/>
      <c r="R163" s="120"/>
      <c r="S163" s="120"/>
      <c r="T163" s="120"/>
      <c r="U163" s="120"/>
      <c r="V163" s="120"/>
      <c r="W163" s="120"/>
    </row>
    <row r="164" spans="1:23" x14ac:dyDescent="0.25">
      <c r="A164" s="16">
        <v>92</v>
      </c>
      <c r="B164" s="112"/>
      <c r="C164" s="112"/>
      <c r="D164" s="200"/>
      <c r="E164" s="114"/>
      <c r="F164" s="115"/>
      <c r="G164" s="248"/>
      <c r="H164" s="116"/>
      <c r="I164" s="16" t="str">
        <f>IF(SUM(IFERROR(IF(VLOOKUP(C164,Data!$H$11:$J$867,3,FALSE)="Yes",1),0),IFERROR(IF(VLOOKUP(G164,Data!$B$11:$F$3178,5,FALSE)="Yes",1,0),0))&gt;0,"Yes","No")</f>
        <v>No</v>
      </c>
      <c r="J164" s="117"/>
      <c r="K164" s="117"/>
      <c r="L164" s="118"/>
      <c r="M164" s="118"/>
      <c r="N164" s="119"/>
      <c r="O164" s="119"/>
      <c r="P164" s="679"/>
      <c r="Q164" s="119"/>
      <c r="R164" s="120"/>
      <c r="S164" s="120"/>
      <c r="T164" s="120"/>
      <c r="U164" s="120"/>
      <c r="V164" s="120"/>
      <c r="W164" s="120"/>
    </row>
    <row r="165" spans="1:23" x14ac:dyDescent="0.25">
      <c r="A165" s="16">
        <v>93</v>
      </c>
      <c r="B165" s="112"/>
      <c r="C165" s="112"/>
      <c r="D165" s="200"/>
      <c r="E165" s="114"/>
      <c r="F165" s="115"/>
      <c r="G165" s="248"/>
      <c r="H165" s="116"/>
      <c r="I165" s="16" t="str">
        <f>IF(SUM(IFERROR(IF(VLOOKUP(C165,Data!$H$11:$J$867,3,FALSE)="Yes",1),0),IFERROR(IF(VLOOKUP(G165,Data!$B$11:$F$3178,5,FALSE)="Yes",1,0),0))&gt;0,"Yes","No")</f>
        <v>No</v>
      </c>
      <c r="J165" s="117"/>
      <c r="K165" s="117"/>
      <c r="L165" s="118"/>
      <c r="M165" s="118"/>
      <c r="N165" s="119"/>
      <c r="O165" s="119"/>
      <c r="P165" s="679"/>
      <c r="Q165" s="119"/>
      <c r="R165" s="120"/>
      <c r="S165" s="120"/>
      <c r="T165" s="120"/>
      <c r="U165" s="120"/>
      <c r="V165" s="120"/>
      <c r="W165" s="120"/>
    </row>
    <row r="166" spans="1:23" x14ac:dyDescent="0.25">
      <c r="A166" s="16">
        <v>94</v>
      </c>
      <c r="B166" s="112"/>
      <c r="C166" s="112"/>
      <c r="D166" s="200"/>
      <c r="E166" s="114"/>
      <c r="F166" s="115"/>
      <c r="G166" s="248"/>
      <c r="H166" s="116"/>
      <c r="I166" s="16" t="str">
        <f>IF(SUM(IFERROR(IF(VLOOKUP(C166,Data!$H$11:$J$867,3,FALSE)="Yes",1),0),IFERROR(IF(VLOOKUP(G166,Data!$B$11:$F$3178,5,FALSE)="Yes",1,0),0))&gt;0,"Yes","No")</f>
        <v>No</v>
      </c>
      <c r="J166" s="117"/>
      <c r="K166" s="117"/>
      <c r="L166" s="118"/>
      <c r="M166" s="118"/>
      <c r="N166" s="119"/>
      <c r="O166" s="119"/>
      <c r="P166" s="679"/>
      <c r="Q166" s="119"/>
      <c r="R166" s="120"/>
      <c r="S166" s="120"/>
      <c r="T166" s="120"/>
      <c r="U166" s="120"/>
      <c r="V166" s="120"/>
      <c r="W166" s="120"/>
    </row>
    <row r="167" spans="1:23" x14ac:dyDescent="0.25">
      <c r="A167" s="16">
        <v>95</v>
      </c>
      <c r="B167" s="112"/>
      <c r="C167" s="112"/>
      <c r="D167" s="200"/>
      <c r="E167" s="114"/>
      <c r="F167" s="115"/>
      <c r="G167" s="248"/>
      <c r="H167" s="116"/>
      <c r="I167" s="16" t="str">
        <f>IF(SUM(IFERROR(IF(VLOOKUP(C167,Data!$H$11:$J$867,3,FALSE)="Yes",1),0),IFERROR(IF(VLOOKUP(G167,Data!$B$11:$F$3178,5,FALSE)="Yes",1,0),0))&gt;0,"Yes","No")</f>
        <v>No</v>
      </c>
      <c r="J167" s="117"/>
      <c r="K167" s="117"/>
      <c r="L167" s="118"/>
      <c r="M167" s="118"/>
      <c r="N167" s="119"/>
      <c r="O167" s="119"/>
      <c r="P167" s="679"/>
      <c r="Q167" s="119"/>
      <c r="R167" s="120"/>
      <c r="S167" s="120"/>
      <c r="T167" s="120"/>
      <c r="U167" s="120"/>
      <c r="V167" s="120"/>
      <c r="W167" s="120"/>
    </row>
    <row r="168" spans="1:23" x14ac:dyDescent="0.25">
      <c r="A168" s="16">
        <v>96</v>
      </c>
      <c r="B168" s="112"/>
      <c r="C168" s="112"/>
      <c r="D168" s="200"/>
      <c r="E168" s="114"/>
      <c r="F168" s="115"/>
      <c r="G168" s="248"/>
      <c r="H168" s="116"/>
      <c r="I168" s="16" t="str">
        <f>IF(SUM(IFERROR(IF(VLOOKUP(C168,Data!$H$11:$J$867,3,FALSE)="Yes",1),0),IFERROR(IF(VLOOKUP(G168,Data!$B$11:$F$3178,5,FALSE)="Yes",1,0),0))&gt;0,"Yes","No")</f>
        <v>No</v>
      </c>
      <c r="J168" s="117"/>
      <c r="K168" s="117"/>
      <c r="L168" s="118"/>
      <c r="M168" s="118"/>
      <c r="N168" s="119"/>
      <c r="O168" s="119"/>
      <c r="P168" s="679"/>
      <c r="Q168" s="119"/>
      <c r="R168" s="120"/>
      <c r="S168" s="120"/>
      <c r="T168" s="120"/>
      <c r="U168" s="120"/>
      <c r="V168" s="120"/>
      <c r="W168" s="120"/>
    </row>
    <row r="169" spans="1:23" x14ac:dyDescent="0.25">
      <c r="A169" s="16">
        <v>97</v>
      </c>
      <c r="B169" s="112"/>
      <c r="C169" s="112"/>
      <c r="D169" s="200"/>
      <c r="E169" s="114"/>
      <c r="F169" s="115"/>
      <c r="G169" s="248"/>
      <c r="H169" s="116"/>
      <c r="I169" s="16" t="str">
        <f>IF(SUM(IFERROR(IF(VLOOKUP(C169,Data!$H$11:$J$867,3,FALSE)="Yes",1),0),IFERROR(IF(VLOOKUP(G169,Data!$B$11:$F$3178,5,FALSE)="Yes",1,0),0))&gt;0,"Yes","No")</f>
        <v>No</v>
      </c>
      <c r="J169" s="117"/>
      <c r="K169" s="117"/>
      <c r="L169" s="118"/>
      <c r="M169" s="118"/>
      <c r="N169" s="119"/>
      <c r="O169" s="119"/>
      <c r="P169" s="679"/>
      <c r="Q169" s="119"/>
      <c r="R169" s="120"/>
      <c r="S169" s="120"/>
      <c r="T169" s="120"/>
      <c r="U169" s="120"/>
      <c r="V169" s="120"/>
      <c r="W169" s="120"/>
    </row>
    <row r="170" spans="1:23" x14ac:dyDescent="0.25">
      <c r="A170" s="16">
        <v>98</v>
      </c>
      <c r="B170" s="112"/>
      <c r="C170" s="112"/>
      <c r="D170" s="200"/>
      <c r="E170" s="114"/>
      <c r="F170" s="115"/>
      <c r="G170" s="248"/>
      <c r="H170" s="116"/>
      <c r="I170" s="16" t="str">
        <f>IF(SUM(IFERROR(IF(VLOOKUP(C170,Data!$H$11:$J$867,3,FALSE)="Yes",1),0),IFERROR(IF(VLOOKUP(G170,Data!$B$11:$F$3178,5,FALSE)="Yes",1,0),0))&gt;0,"Yes","No")</f>
        <v>No</v>
      </c>
      <c r="J170" s="117"/>
      <c r="K170" s="117"/>
      <c r="L170" s="118"/>
      <c r="M170" s="118"/>
      <c r="N170" s="119"/>
      <c r="O170" s="119"/>
      <c r="P170" s="679"/>
      <c r="Q170" s="119"/>
      <c r="R170" s="120"/>
      <c r="S170" s="120"/>
      <c r="T170" s="120"/>
      <c r="U170" s="120"/>
      <c r="V170" s="120"/>
      <c r="W170" s="120"/>
    </row>
    <row r="171" spans="1:23" x14ac:dyDescent="0.25">
      <c r="A171" s="16">
        <v>99</v>
      </c>
      <c r="B171" s="112"/>
      <c r="C171" s="112"/>
      <c r="D171" s="200"/>
      <c r="E171" s="114"/>
      <c r="F171" s="115"/>
      <c r="G171" s="248"/>
      <c r="H171" s="116"/>
      <c r="I171" s="16" t="str">
        <f>IF(SUM(IFERROR(IF(VLOOKUP(C171,Data!$H$11:$J$867,3,FALSE)="Yes",1),0),IFERROR(IF(VLOOKUP(G171,Data!$B$11:$F$3178,5,FALSE)="Yes",1,0),0))&gt;0,"Yes","No")</f>
        <v>No</v>
      </c>
      <c r="J171" s="117"/>
      <c r="K171" s="117"/>
      <c r="L171" s="118"/>
      <c r="M171" s="118"/>
      <c r="N171" s="119"/>
      <c r="O171" s="119"/>
      <c r="P171" s="679"/>
      <c r="Q171" s="119"/>
      <c r="R171" s="120"/>
      <c r="S171" s="120"/>
      <c r="T171" s="120"/>
      <c r="U171" s="120"/>
      <c r="V171" s="120"/>
      <c r="W171" s="120"/>
    </row>
    <row r="172" spans="1:23" s="144" customFormat="1" x14ac:dyDescent="0.25">
      <c r="A172" s="16">
        <v>100</v>
      </c>
      <c r="B172" s="112"/>
      <c r="C172" s="112"/>
      <c r="D172" s="200"/>
      <c r="E172" s="114"/>
      <c r="F172" s="115"/>
      <c r="G172" s="248"/>
      <c r="H172" s="116"/>
      <c r="I172" s="16" t="str">
        <f>IF(SUM(IFERROR(IF(VLOOKUP(C172,Data!$H$11:$J$867,3,FALSE)="Yes",1),0),IFERROR(IF(VLOOKUP(G172,Data!$B$11:$F$3178,5,FALSE)="Yes",1,0),0))&gt;0,"Yes","No")</f>
        <v>No</v>
      </c>
      <c r="J172" s="117"/>
      <c r="K172" s="117"/>
      <c r="L172" s="118"/>
      <c r="M172" s="118"/>
      <c r="N172" s="119"/>
      <c r="O172" s="119"/>
      <c r="P172" s="679"/>
      <c r="Q172" s="119"/>
      <c r="R172" s="120"/>
      <c r="S172" s="120"/>
      <c r="T172" s="120"/>
      <c r="U172" s="120"/>
      <c r="V172" s="120"/>
      <c r="W172" s="120"/>
    </row>
    <row r="173" spans="1:23" s="673" customFormat="1" ht="15" customHeight="1" x14ac:dyDescent="0.25">
      <c r="A173" s="374" t="s">
        <v>151</v>
      </c>
      <c r="B173" s="374">
        <f>COUNT(C73:C172)</f>
        <v>0</v>
      </c>
      <c r="C173" s="671"/>
      <c r="D173" s="671"/>
      <c r="E173" s="671"/>
      <c r="F173" s="672">
        <f>SUM(F73:F172)</f>
        <v>0</v>
      </c>
      <c r="G173" s="671"/>
      <c r="H173" s="671"/>
      <c r="I173" s="671"/>
      <c r="J173" s="672" t="s">
        <v>1052</v>
      </c>
      <c r="K173" s="674" t="str">
        <f>IFERROR(SMALL(K73:K172,1),"Enter Date Constructed")</f>
        <v>Enter Date Constructed</v>
      </c>
      <c r="L173" s="671"/>
      <c r="M173" s="671"/>
      <c r="N173" s="671"/>
      <c r="O173" s="374" t="s">
        <v>1092</v>
      </c>
      <c r="P173" s="374" t="str">
        <f>IFERROR(LARGE(P73:P172,1),"Enter Floors")</f>
        <v>Enter Floors</v>
      </c>
      <c r="Q173" s="671"/>
      <c r="R173" s="374">
        <f t="shared" ref="R173:W173" si="0">SUM(R73:R172)</f>
        <v>0</v>
      </c>
      <c r="S173" s="374">
        <f t="shared" si="0"/>
        <v>0</v>
      </c>
      <c r="T173" s="374">
        <f t="shared" si="0"/>
        <v>0</v>
      </c>
      <c r="U173" s="374">
        <f t="shared" si="0"/>
        <v>0</v>
      </c>
      <c r="V173" s="374">
        <f t="shared" si="0"/>
        <v>0</v>
      </c>
      <c r="W173" s="374">
        <f t="shared" si="0"/>
        <v>0</v>
      </c>
    </row>
    <row r="174" spans="1:23" x14ac:dyDescent="0.25">
      <c r="R174" s="77" t="str">
        <f>IF(R173&lt;&gt;'Budget &amp; Costs'!C45,"Unit Count Does Not Match Budget Page","")</f>
        <v/>
      </c>
      <c r="U174" s="201"/>
    </row>
    <row r="175" spans="1:23" x14ac:dyDescent="0.25">
      <c r="B175" s="15" t="s">
        <v>982</v>
      </c>
      <c r="C175" s="15" t="s">
        <v>169</v>
      </c>
      <c r="D175" s="15" t="s">
        <v>170</v>
      </c>
      <c r="E175" s="15" t="s">
        <v>1390</v>
      </c>
      <c r="F175" s="15" t="s">
        <v>151</v>
      </c>
      <c r="H175" s="138"/>
      <c r="I175" s="138"/>
      <c r="J175" s="138"/>
    </row>
    <row r="176" spans="1:23" x14ac:dyDescent="0.25">
      <c r="B176" s="135" t="s">
        <v>167</v>
      </c>
      <c r="C176" s="16">
        <f>SUM(COUNTIFS(E73:E172,{"Recorded Deed","Executed Option","Purchase Contract","Long Term Lease"},H73:H172,"New Construction"))</f>
        <v>0</v>
      </c>
      <c r="D176" s="16">
        <f>SUM(COUNTIFS(E73:E172,{"Recorded Deed","Executed Option","Purchase Contract","Long Term Lease"},H73:H172,"Rehabilitation"))</f>
        <v>0</v>
      </c>
      <c r="E176" s="16">
        <f>SUM(COUNTIFS(E73:E172,{"Recorded Deed","Executed Option","Purchase Contract","Long Term Lease"},H73:H172,"Adaptive Reuse"))</f>
        <v>0</v>
      </c>
      <c r="F176" s="16">
        <f t="shared" ref="F176:F181" si="1">SUM(C176:E176)</f>
        <v>0</v>
      </c>
      <c r="H176" s="138"/>
      <c r="I176" s="138"/>
      <c r="J176" s="138"/>
    </row>
    <row r="177" spans="2:22" x14ac:dyDescent="0.25">
      <c r="B177" s="135" t="s">
        <v>168</v>
      </c>
      <c r="C177" s="16">
        <f>COUNTIFS(E73:E172,"Proposed to Acquire",H73:H172,"New Construction")</f>
        <v>0</v>
      </c>
      <c r="D177" s="16">
        <f>COUNTIFS(E73:E172,"Proposed to Acquire",H73:H172,"Rehabilitation")</f>
        <v>0</v>
      </c>
      <c r="E177" s="16">
        <f>COUNTIFS(E73:E172,"Proposed to Acquire",H73:H172,"Adaptive Reuse")</f>
        <v>0</v>
      </c>
      <c r="F177" s="16">
        <f t="shared" si="1"/>
        <v>0</v>
      </c>
      <c r="H177" s="138"/>
      <c r="I177" s="138"/>
      <c r="J177" s="138"/>
    </row>
    <row r="178" spans="2:22" x14ac:dyDescent="0.25">
      <c r="B178" s="135" t="s">
        <v>174</v>
      </c>
      <c r="C178" s="214" t="str">
        <f>IF((C176+C177&gt;0),(C176/(C176+C177)),"N/A")</f>
        <v>N/A</v>
      </c>
      <c r="D178" s="214" t="str">
        <f>IF((D176+D177&gt;0),(D176/(D176+D177)),"N/A")</f>
        <v>N/A</v>
      </c>
      <c r="E178" s="214" t="str">
        <f>IF((E176+E177&gt;0),(E176/(E176+E177)),"N/A")</f>
        <v>N/A</v>
      </c>
      <c r="F178" s="214">
        <f t="shared" si="1"/>
        <v>0</v>
      </c>
      <c r="H178" s="138"/>
      <c r="I178" s="138"/>
      <c r="J178" s="138"/>
    </row>
    <row r="179" spans="2:22" x14ac:dyDescent="0.25">
      <c r="B179" s="135" t="s">
        <v>560</v>
      </c>
      <c r="C179" s="215">
        <f>COUNTIFS(I73:I172,"Yes",H73:H172,"New Construction")</f>
        <v>0</v>
      </c>
      <c r="D179" s="215">
        <f>COUNTIFS(I73:I172,"Yes",H73:H172,"Rehabilitation")</f>
        <v>0</v>
      </c>
      <c r="E179" s="215">
        <f>COUNTIFS(I73:I172,"Yes",H73:H172,"Adaptive Reuse")</f>
        <v>0</v>
      </c>
      <c r="F179" s="215">
        <f t="shared" si="1"/>
        <v>0</v>
      </c>
    </row>
    <row r="180" spans="2:22" x14ac:dyDescent="0.25">
      <c r="B180" s="135" t="s">
        <v>561</v>
      </c>
      <c r="C180" s="214">
        <f>IFERROR(C179/COUNTIF(H73:H172,"New Construction"),0)</f>
        <v>0</v>
      </c>
      <c r="D180" s="214">
        <f>IFERROR(D179/COUNTIF(H73:H172,"Rehabilitation"),0)</f>
        <v>0</v>
      </c>
      <c r="E180" s="214">
        <f>IFERROR(E179/COUNTIF(H73:H172,"Adaptive Reuse"),0)</f>
        <v>0</v>
      </c>
      <c r="F180" s="214">
        <f t="shared" si="1"/>
        <v>0</v>
      </c>
      <c r="O180" s="138"/>
      <c r="P180" s="138"/>
      <c r="Q180" s="138"/>
      <c r="R180" s="138"/>
    </row>
    <row r="181" spans="2:22" ht="14.4" x14ac:dyDescent="0.3">
      <c r="B181" s="383" t="s">
        <v>1530</v>
      </c>
      <c r="C181" s="215">
        <f>COUNTIFS(H73:H172,"New Construction")</f>
        <v>0</v>
      </c>
      <c r="D181" s="215">
        <f>COUNTIFS(H73:H172,"Rehabilitation")</f>
        <v>0</v>
      </c>
      <c r="E181" s="215">
        <f>COUNTIFS(H73:H172,"Adaptive Reuse")</f>
        <v>0</v>
      </c>
      <c r="F181" s="215">
        <f t="shared" si="1"/>
        <v>0</v>
      </c>
      <c r="O181" s="138"/>
      <c r="P181" s="138"/>
      <c r="Q181" s="138"/>
      <c r="R181" s="138"/>
    </row>
    <row r="182" spans="2:22" ht="14.4" x14ac:dyDescent="0.3">
      <c r="B182" s="383" t="s">
        <v>1531</v>
      </c>
      <c r="C182" s="214">
        <f>IFERROR(C181/F181,0)</f>
        <v>0</v>
      </c>
      <c r="D182" s="214">
        <f>IFERROR(D181/F181,0)</f>
        <v>0</v>
      </c>
      <c r="E182" s="214">
        <f>IFERROR(E181/F181,0)</f>
        <v>0</v>
      </c>
      <c r="F182" s="505"/>
      <c r="O182" s="138"/>
      <c r="P182" s="138"/>
      <c r="Q182" s="138"/>
      <c r="R182" s="138"/>
    </row>
    <row r="183" spans="2:22" x14ac:dyDescent="0.25">
      <c r="O183" s="138"/>
      <c r="P183" s="138"/>
      <c r="Q183" s="138"/>
      <c r="R183" s="138"/>
    </row>
    <row r="184" spans="2:22" x14ac:dyDescent="0.25">
      <c r="B184" s="19" t="s">
        <v>1432</v>
      </c>
      <c r="D184" s="37"/>
      <c r="S184" s="138"/>
      <c r="T184" s="138"/>
      <c r="U184" s="138"/>
      <c r="V184" s="138"/>
    </row>
    <row r="185" spans="2:22" x14ac:dyDescent="0.25">
      <c r="B185" s="19" t="s">
        <v>1429</v>
      </c>
      <c r="C185" s="612"/>
      <c r="D185" s="37"/>
      <c r="S185" s="138"/>
      <c r="T185" s="138"/>
      <c r="U185" s="138"/>
      <c r="V185" s="138"/>
    </row>
    <row r="186" spans="2:22" x14ac:dyDescent="0.25">
      <c r="B186" s="19" t="s">
        <v>1430</v>
      </c>
      <c r="C186" s="613"/>
      <c r="D186" s="37"/>
      <c r="S186" s="138"/>
      <c r="T186" s="138"/>
      <c r="U186" s="138"/>
      <c r="V186" s="138"/>
    </row>
    <row r="187" spans="2:22" x14ac:dyDescent="0.25">
      <c r="B187" s="138" t="s">
        <v>1431</v>
      </c>
      <c r="C187" s="614"/>
      <c r="D187" s="37"/>
      <c r="S187" s="138"/>
      <c r="T187" s="138"/>
      <c r="U187" s="138"/>
      <c r="V187" s="138"/>
    </row>
    <row r="188" spans="2:22" x14ac:dyDescent="0.25">
      <c r="B188" s="138"/>
      <c r="C188" s="614"/>
      <c r="D188" s="37"/>
      <c r="S188" s="138"/>
      <c r="T188" s="138"/>
      <c r="U188" s="138"/>
      <c r="V188" s="138"/>
    </row>
    <row r="189" spans="2:22" x14ac:dyDescent="0.25">
      <c r="B189" s="138"/>
      <c r="C189" s="614"/>
      <c r="D189" s="37"/>
      <c r="S189" s="138"/>
      <c r="T189" s="138"/>
      <c r="U189" s="138"/>
      <c r="V189" s="138"/>
    </row>
    <row r="190" spans="2:22" x14ac:dyDescent="0.25">
      <c r="B190" s="138"/>
      <c r="C190" s="614"/>
      <c r="D190" s="37"/>
      <c r="S190" s="138"/>
      <c r="T190" s="138"/>
      <c r="U190" s="138"/>
      <c r="V190" s="138"/>
    </row>
    <row r="191" spans="2:22" x14ac:dyDescent="0.25">
      <c r="B191" s="138"/>
      <c r="C191" s="614"/>
      <c r="D191" s="37"/>
      <c r="S191" s="138"/>
      <c r="T191" s="138"/>
      <c r="U191" s="138"/>
      <c r="V191" s="138"/>
    </row>
    <row r="192" spans="2:22" x14ac:dyDescent="0.25">
      <c r="B192" s="19"/>
      <c r="C192" s="614"/>
      <c r="D192" s="37"/>
      <c r="S192" s="138"/>
      <c r="T192" s="138"/>
      <c r="U192" s="138"/>
      <c r="V192" s="138"/>
    </row>
    <row r="193" spans="1:22" x14ac:dyDescent="0.25">
      <c r="B193" s="223"/>
      <c r="C193" s="223"/>
      <c r="D193" s="223"/>
      <c r="E193" s="223"/>
      <c r="F193" s="223"/>
      <c r="G193" s="223"/>
      <c r="H193" s="223"/>
      <c r="I193" s="223"/>
      <c r="S193" s="138"/>
      <c r="T193" s="138"/>
      <c r="U193" s="138"/>
      <c r="V193" s="138"/>
    </row>
    <row r="194" spans="1:22" ht="17.399999999999999" x14ac:dyDescent="0.3">
      <c r="A194" s="6" t="s">
        <v>1415</v>
      </c>
      <c r="B194" s="223"/>
      <c r="C194" s="463"/>
      <c r="D194" s="223"/>
      <c r="E194" s="223"/>
      <c r="F194" s="223"/>
      <c r="G194" s="223"/>
      <c r="H194" s="223"/>
      <c r="I194" s="223"/>
      <c r="S194" s="138"/>
      <c r="T194" s="138"/>
      <c r="U194" s="138"/>
      <c r="V194" s="138"/>
    </row>
    <row r="195" spans="1:22" x14ac:dyDescent="0.25">
      <c r="B195" s="48" t="s">
        <v>178</v>
      </c>
      <c r="C195" s="480"/>
      <c r="D195" s="138"/>
      <c r="O195" s="138"/>
      <c r="P195" s="138"/>
      <c r="Q195" s="138"/>
      <c r="R195" s="138"/>
    </row>
    <row r="196" spans="1:22" x14ac:dyDescent="0.25">
      <c r="B196" s="48" t="s">
        <v>177</v>
      </c>
      <c r="C196" s="119"/>
      <c r="D196" s="138"/>
      <c r="O196" s="138"/>
      <c r="P196" s="138"/>
      <c r="Q196" s="138"/>
      <c r="R196" s="138"/>
    </row>
    <row r="197" spans="1:22" x14ac:dyDescent="0.25">
      <c r="B197" s="48" t="s">
        <v>1153</v>
      </c>
      <c r="C197" s="121"/>
      <c r="D197" s="138"/>
      <c r="O197" s="138"/>
      <c r="P197" s="138"/>
      <c r="Q197" s="138"/>
      <c r="R197" s="138"/>
    </row>
    <row r="198" spans="1:22" x14ac:dyDescent="0.25">
      <c r="O198" s="138"/>
      <c r="P198" s="138"/>
      <c r="Q198" s="138"/>
      <c r="R198" s="138"/>
    </row>
    <row r="199" spans="1:22" x14ac:dyDescent="0.25">
      <c r="B199" s="15" t="s">
        <v>186</v>
      </c>
      <c r="C199" s="15" t="s">
        <v>984</v>
      </c>
      <c r="D199" s="15" t="s">
        <v>985</v>
      </c>
      <c r="E199" s="15" t="s">
        <v>986</v>
      </c>
      <c r="F199" s="15" t="s">
        <v>987</v>
      </c>
      <c r="G199" s="15" t="s">
        <v>1254</v>
      </c>
      <c r="H199" s="15" t="s">
        <v>988</v>
      </c>
    </row>
    <row r="200" spans="1:22" x14ac:dyDescent="0.25">
      <c r="B200" s="135" t="s">
        <v>1050</v>
      </c>
      <c r="C200" s="16">
        <f>SUM(COUNTIFS(O73:O172,{"Single Family"},P73:P172,1))</f>
        <v>0</v>
      </c>
      <c r="D200" s="16">
        <f>SUM(COUNTIFS(O73:O172,{"Single Family"},P73:P172,2))</f>
        <v>0</v>
      </c>
      <c r="E200" s="16">
        <f>SUM(COUNTIFS(O73:O172,{"Single Family"},P73:P172,3))</f>
        <v>0</v>
      </c>
      <c r="F200" s="16">
        <f>SUM(COUNTIFS(O73:O172,{"Single Family"},P73:P172,"&gt;3"))</f>
        <v>0</v>
      </c>
      <c r="G200" s="16">
        <f>SUM(COUNTIFS(O73:O172,{"Single Family"},Q73:Q172,"Yes"))</f>
        <v>0</v>
      </c>
      <c r="H200" s="16">
        <f>SUMIF(O73:O172,"Single Family",R73:R172)</f>
        <v>0</v>
      </c>
    </row>
    <row r="201" spans="1:22" x14ac:dyDescent="0.25">
      <c r="B201" s="135" t="s">
        <v>1049</v>
      </c>
      <c r="C201" s="16">
        <f>SUM(COUNTIFS(O73:O172,{"Duplex/ Triplex/ Quad"},P73:P172,1))</f>
        <v>0</v>
      </c>
      <c r="D201" s="16">
        <f>SUM(COUNTIFS(O73:O172,{"Duplex/ Triplex/ Quad"},P73:P172,2))</f>
        <v>0</v>
      </c>
      <c r="E201" s="16">
        <f>SUM(COUNTIFS(O73:O172,{"Duplex/ Triplex/ Quad"},P73:P172,3))</f>
        <v>0</v>
      </c>
      <c r="F201" s="16">
        <f>SUM(COUNTIFS(O73:O172,{"Duplex/ Triplex/ Quad"},P73:P172,"&gt;3"))</f>
        <v>0</v>
      </c>
      <c r="G201" s="16">
        <f>SUM(COUNTIFS(O73:O172,{"Duplex/ Triplex/ Quad"},Q73:Q172,"Yes"))</f>
        <v>0</v>
      </c>
      <c r="H201" s="16">
        <f>SUMIF(O73:O172,"Duplex/ Triplex/ Quad",R73:R172)</f>
        <v>0</v>
      </c>
    </row>
    <row r="202" spans="1:22" x14ac:dyDescent="0.25">
      <c r="B202" s="135" t="s">
        <v>983</v>
      </c>
      <c r="C202" s="215">
        <f>SUM(COUNTIFS(O73:O172,{"Townhome"},P73:P172,1))</f>
        <v>0</v>
      </c>
      <c r="D202" s="215">
        <f>SUM(COUNTIFS(O73:O172,{"Townhome"},P73:P172,2))</f>
        <v>0</v>
      </c>
      <c r="E202" s="215">
        <f>SUM(COUNTIFS(O73:O172,{"Townhome"},P73:P172,3))</f>
        <v>0</v>
      </c>
      <c r="F202" s="215">
        <f>SUM(COUNTIFS(O73:O172,{"Townhome"},P73:P172,"&gt;3"))</f>
        <v>0</v>
      </c>
      <c r="G202" s="215">
        <f>SUM(COUNTIFS(O73:O172,{"Townhome"},Q73:Q172,"Yes"))</f>
        <v>0</v>
      </c>
      <c r="H202" s="215">
        <f>SUMIF(O73:O172,"Townhome",R73:R172)</f>
        <v>0</v>
      </c>
    </row>
    <row r="203" spans="1:22" x14ac:dyDescent="0.25">
      <c r="B203" s="135" t="s">
        <v>1047</v>
      </c>
      <c r="C203" s="215">
        <f>SUM(COUNTIFS(O73:O172,{"Low Rise (1-6 stories)"},P73:P172,1))</f>
        <v>0</v>
      </c>
      <c r="D203" s="215">
        <f>SUM(COUNTIFS(O73:O172,{"Low Rise (1-6 stories)"},P73:P172,2))</f>
        <v>0</v>
      </c>
      <c r="E203" s="215">
        <f>SUM(COUNTIFS(O73:O172,{"Low Rise (1-6 stories)"},P73:P172,3))</f>
        <v>0</v>
      </c>
      <c r="F203" s="215">
        <f>SUM(COUNTIFS(O73:O172,{"Low Rise (1-6 stories)"},P73:P172,"&gt;3"))</f>
        <v>0</v>
      </c>
      <c r="G203" s="215">
        <f>SUM(COUNTIFS(O73:O172,{"Low Rise (1-6 stories)"},Q73:Q172,"Yes"))</f>
        <v>0</v>
      </c>
      <c r="H203" s="215">
        <f>SUMIF(O73:O172,"Low Rise (1-6 stories)",R73:R172)</f>
        <v>0</v>
      </c>
    </row>
    <row r="204" spans="1:22" x14ac:dyDescent="0.25">
      <c r="B204" s="135" t="s">
        <v>1048</v>
      </c>
      <c r="C204" s="215">
        <f>SUM(COUNTIFS(O73:O172,{"High Rise (7+ stories)"},P73:P172,1))</f>
        <v>0</v>
      </c>
      <c r="D204" s="215">
        <f>SUM(COUNTIFS(O73:O172,{"High Rise (7+ stories)"},P73:P172,2))</f>
        <v>0</v>
      </c>
      <c r="E204" s="215">
        <f>SUM(COUNTIFS(O73:O172,{"High Rise (7+ stories)"},P73:P172,3))</f>
        <v>0</v>
      </c>
      <c r="F204" s="215">
        <f>SUM(COUNTIFS(O73:O172,{"High Rise (7+ stories)"},P73:P172,"&gt;3"))</f>
        <v>0</v>
      </c>
      <c r="G204" s="215">
        <f>SUM(COUNTIFS(O73:O172,{"High Rise (7+ stories)"},Q73:Q172,"Yes"))</f>
        <v>0</v>
      </c>
      <c r="H204" s="215">
        <f>SUMIF(O73:O172,"High Rise (7+ stories)",R73:R172)</f>
        <v>0</v>
      </c>
    </row>
    <row r="206" spans="1:22" x14ac:dyDescent="0.25">
      <c r="B206" s="23" t="s">
        <v>542</v>
      </c>
      <c r="C206" s="15" t="s">
        <v>197</v>
      </c>
      <c r="D206" s="15" t="s">
        <v>1273</v>
      </c>
      <c r="E206" s="719" t="s">
        <v>1109</v>
      </c>
      <c r="F206" s="720"/>
      <c r="G206" s="721"/>
    </row>
    <row r="207" spans="1:22" ht="14.4" x14ac:dyDescent="0.3">
      <c r="B207" s="26" t="s">
        <v>194</v>
      </c>
      <c r="C207" s="120">
        <v>0</v>
      </c>
      <c r="D207" s="123">
        <v>0</v>
      </c>
      <c r="E207" s="722" t="s">
        <v>1040</v>
      </c>
      <c r="F207" s="723"/>
      <c r="G207" s="724"/>
    </row>
    <row r="208" spans="1:22" ht="14.4" x14ac:dyDescent="0.3">
      <c r="B208" s="26" t="s">
        <v>195</v>
      </c>
      <c r="C208" s="120">
        <v>0</v>
      </c>
      <c r="D208" s="123">
        <v>0</v>
      </c>
      <c r="E208" s="722" t="s">
        <v>1040</v>
      </c>
      <c r="F208" s="723"/>
      <c r="G208" s="724"/>
    </row>
    <row r="209" spans="1:22" ht="14.4" x14ac:dyDescent="0.3">
      <c r="B209" s="26" t="s">
        <v>196</v>
      </c>
      <c r="C209" s="120">
        <v>0</v>
      </c>
      <c r="D209" s="123">
        <v>0</v>
      </c>
      <c r="E209" s="722" t="s">
        <v>1040</v>
      </c>
      <c r="F209" s="723"/>
      <c r="G209" s="724"/>
    </row>
    <row r="210" spans="1:22" ht="14.4" x14ac:dyDescent="0.3">
      <c r="B210" s="26" t="s">
        <v>1039</v>
      </c>
      <c r="C210" s="120">
        <v>0</v>
      </c>
      <c r="D210" s="123">
        <v>0</v>
      </c>
      <c r="E210" s="722" t="s">
        <v>1040</v>
      </c>
      <c r="F210" s="723"/>
      <c r="G210" s="724"/>
    </row>
    <row r="211" spans="1:22" x14ac:dyDescent="0.25">
      <c r="B211" s="19"/>
      <c r="C211" s="19"/>
      <c r="D211" s="19"/>
      <c r="E211" s="19"/>
      <c r="F211" s="19"/>
      <c r="G211" s="19"/>
    </row>
    <row r="212" spans="1:22" x14ac:dyDescent="0.25">
      <c r="B212" s="376" t="s">
        <v>1042</v>
      </c>
      <c r="C212" s="379">
        <f>ROUNDUP('Budget &amp; Costs'!C45*0.05,0)</f>
        <v>0</v>
      </c>
      <c r="E212" s="138"/>
    </row>
    <row r="213" spans="1:22" x14ac:dyDescent="0.25">
      <c r="B213" s="377" t="s">
        <v>1041</v>
      </c>
      <c r="C213" s="380">
        <f>U173</f>
        <v>0</v>
      </c>
      <c r="E213" s="138"/>
    </row>
    <row r="214" spans="1:22" x14ac:dyDescent="0.25">
      <c r="B214" s="377" t="s">
        <v>1285</v>
      </c>
      <c r="C214" s="16" t="str">
        <f>IF(C213&gt;=C212,"Yes","No")</f>
        <v>Yes</v>
      </c>
      <c r="E214" s="138"/>
    </row>
    <row r="215" spans="1:22" x14ac:dyDescent="0.25">
      <c r="B215" s="233"/>
      <c r="C215" s="380"/>
      <c r="E215" s="138"/>
    </row>
    <row r="216" spans="1:22" x14ac:dyDescent="0.25">
      <c r="B216" s="377" t="s">
        <v>1151</v>
      </c>
      <c r="C216" s="380">
        <f>ROUNDUP('Budget &amp; Costs'!C45*0.02,0)</f>
        <v>0</v>
      </c>
      <c r="E216" s="138"/>
    </row>
    <row r="217" spans="1:22" x14ac:dyDescent="0.25">
      <c r="B217" s="377" t="s">
        <v>1152</v>
      </c>
      <c r="C217" s="380">
        <f>V173</f>
        <v>0</v>
      </c>
      <c r="E217" s="138"/>
    </row>
    <row r="218" spans="1:22" x14ac:dyDescent="0.25">
      <c r="B218" s="378" t="s">
        <v>1285</v>
      </c>
      <c r="C218" s="16" t="str">
        <f>IF(C217&gt;=C216,"Yes","No")</f>
        <v>Yes</v>
      </c>
      <c r="E218" s="138"/>
    </row>
    <row r="219" spans="1:22" x14ac:dyDescent="0.25">
      <c r="E219" s="138"/>
    </row>
    <row r="220" spans="1:22" x14ac:dyDescent="0.25">
      <c r="B220" s="48" t="s">
        <v>180</v>
      </c>
      <c r="C220" s="214">
        <f>IFERROR(S173/R173,0)</f>
        <v>0</v>
      </c>
    </row>
    <row r="221" spans="1:22" ht="55.2" x14ac:dyDescent="0.25">
      <c r="B221" s="13" t="s">
        <v>932</v>
      </c>
      <c r="C221" s="122"/>
      <c r="D221" s="14" t="str">
        <f>IF(C221="Yes","Please include a Relocation Plan and URA Form with the final application. This plan must include a budget.","")</f>
        <v/>
      </c>
    </row>
    <row r="222" spans="1:22" ht="15.75" customHeight="1" x14ac:dyDescent="0.25">
      <c r="B222" s="216"/>
      <c r="C222" s="216"/>
      <c r="D222" s="216"/>
      <c r="E222" s="216"/>
      <c r="F222" s="216"/>
      <c r="G222" s="216"/>
      <c r="H222" s="216"/>
      <c r="I222" s="216"/>
      <c r="S222" s="138"/>
      <c r="T222" s="138"/>
      <c r="U222" s="138"/>
      <c r="V222" s="138"/>
    </row>
    <row r="223" spans="1:22" ht="17.399999999999999" x14ac:dyDescent="0.3">
      <c r="A223" s="6" t="s">
        <v>1416</v>
      </c>
    </row>
    <row r="224" spans="1:22" ht="43.5" customHeight="1" x14ac:dyDescent="0.25">
      <c r="A224" s="726" t="s">
        <v>1155</v>
      </c>
      <c r="B224" s="726"/>
      <c r="C224" s="726"/>
      <c r="D224" s="726"/>
      <c r="E224" s="726"/>
      <c r="F224" s="726"/>
      <c r="G224" s="726"/>
      <c r="H224" s="726"/>
      <c r="I224" s="726"/>
      <c r="J224" s="24"/>
    </row>
    <row r="225" spans="1:10" x14ac:dyDescent="0.25">
      <c r="A225" s="24"/>
      <c r="B225" s="24"/>
      <c r="C225" s="24"/>
      <c r="D225" s="24"/>
      <c r="E225" s="24"/>
      <c r="F225" s="24"/>
      <c r="G225" s="24"/>
      <c r="H225" s="24"/>
      <c r="I225" s="24"/>
      <c r="J225" s="24"/>
    </row>
    <row r="226" spans="1:10" ht="14.4" x14ac:dyDescent="0.3">
      <c r="B226" s="5" t="s">
        <v>199</v>
      </c>
      <c r="C226" s="610">
        <f>SUM(C227:C240)</f>
        <v>0</v>
      </c>
      <c r="D226" s="473" t="s">
        <v>4911</v>
      </c>
    </row>
    <row r="227" spans="1:10" x14ac:dyDescent="0.25">
      <c r="B227" s="5" t="s">
        <v>200</v>
      </c>
      <c r="C227" s="382"/>
    </row>
    <row r="228" spans="1:10" x14ac:dyDescent="0.25">
      <c r="B228" s="5" t="s">
        <v>890</v>
      </c>
      <c r="C228" s="382"/>
    </row>
    <row r="229" spans="1:10" ht="14.4" x14ac:dyDescent="0.3">
      <c r="B229" s="5" t="s">
        <v>198</v>
      </c>
      <c r="C229" s="382"/>
      <c r="D229" s="473" t="s">
        <v>1288</v>
      </c>
    </row>
    <row r="230" spans="1:10" ht="14.4" x14ac:dyDescent="0.3">
      <c r="B230" s="5" t="s">
        <v>201</v>
      </c>
      <c r="C230" s="382"/>
      <c r="D230" s="389" t="s">
        <v>1289</v>
      </c>
    </row>
    <row r="231" spans="1:10" ht="14.4" x14ac:dyDescent="0.3">
      <c r="B231" s="5" t="s">
        <v>202</v>
      </c>
      <c r="C231" s="382"/>
      <c r="D231" s="473" t="s">
        <v>1538</v>
      </c>
    </row>
    <row r="232" spans="1:10" x14ac:dyDescent="0.25">
      <c r="B232" s="5" t="s">
        <v>203</v>
      </c>
      <c r="C232" s="382"/>
    </row>
    <row r="233" spans="1:10" x14ac:dyDescent="0.25">
      <c r="B233" s="5" t="s">
        <v>204</v>
      </c>
      <c r="C233" s="382"/>
    </row>
    <row r="234" spans="1:10" x14ac:dyDescent="0.25">
      <c r="B234" s="5" t="s">
        <v>1274</v>
      </c>
      <c r="C234" s="382"/>
    </row>
    <row r="235" spans="1:10" x14ac:dyDescent="0.25">
      <c r="B235" s="5" t="s">
        <v>205</v>
      </c>
      <c r="C235" s="382"/>
    </row>
    <row r="236" spans="1:10" x14ac:dyDescent="0.25">
      <c r="B236" s="5" t="s">
        <v>206</v>
      </c>
      <c r="C236" s="382"/>
    </row>
    <row r="237" spans="1:10" x14ac:dyDescent="0.25">
      <c r="B237" s="5" t="s">
        <v>207</v>
      </c>
      <c r="C237" s="382"/>
    </row>
    <row r="238" spans="1:10" x14ac:dyDescent="0.25">
      <c r="B238" s="5" t="s">
        <v>208</v>
      </c>
      <c r="C238" s="382"/>
    </row>
    <row r="239" spans="1:10" x14ac:dyDescent="0.25">
      <c r="B239" s="5" t="s">
        <v>209</v>
      </c>
      <c r="C239" s="382"/>
    </row>
    <row r="240" spans="1:10" x14ac:dyDescent="0.25">
      <c r="B240" s="5" t="s">
        <v>210</v>
      </c>
      <c r="C240" s="382"/>
    </row>
    <row r="241" spans="1:4" x14ac:dyDescent="0.25">
      <c r="B241" s="5" t="s">
        <v>1276</v>
      </c>
      <c r="C241" s="381">
        <f>SUM(C227:C229)</f>
        <v>0</v>
      </c>
      <c r="D241" s="8" t="s">
        <v>1279</v>
      </c>
    </row>
    <row r="242" spans="1:4" x14ac:dyDescent="0.25">
      <c r="B242" s="5" t="s">
        <v>212</v>
      </c>
      <c r="C242" s="381">
        <f>C230+C233+C235+C237</f>
        <v>0</v>
      </c>
      <c r="D242" s="8" t="s">
        <v>1278</v>
      </c>
    </row>
    <row r="243" spans="1:4" x14ac:dyDescent="0.25">
      <c r="B243" s="5" t="s">
        <v>213</v>
      </c>
      <c r="C243" s="46" t="str">
        <f>IFERROR((C232+C233)/C226,"Input needed")</f>
        <v>Input needed</v>
      </c>
      <c r="D243" s="8" t="s">
        <v>1277</v>
      </c>
    </row>
    <row r="244" spans="1:4" x14ac:dyDescent="0.25">
      <c r="B244" s="5" t="s">
        <v>214</v>
      </c>
      <c r="C244" s="381">
        <f>C226-C241</f>
        <v>0</v>
      </c>
      <c r="D244" s="8" t="s">
        <v>215</v>
      </c>
    </row>
    <row r="245" spans="1:4" x14ac:dyDescent="0.25">
      <c r="B245" s="5" t="s">
        <v>1275</v>
      </c>
      <c r="C245" s="381" t="str">
        <f>IFERROR(C244/'Budget &amp; Costs'!D50,"[Complete Budget Tab]")</f>
        <v>[Complete Budget Tab]</v>
      </c>
      <c r="D245" s="8" t="s">
        <v>216</v>
      </c>
    </row>
    <row r="246" spans="1:4" x14ac:dyDescent="0.25">
      <c r="C246" s="8"/>
      <c r="D246" s="8"/>
    </row>
    <row r="247" spans="1:4" x14ac:dyDescent="0.25">
      <c r="C247" s="508"/>
      <c r="D247" s="8"/>
    </row>
    <row r="248" spans="1:4" x14ac:dyDescent="0.25">
      <c r="C248" s="8"/>
      <c r="D248" s="8"/>
    </row>
    <row r="249" spans="1:4" ht="17.399999999999999" x14ac:dyDescent="0.3">
      <c r="A249" s="80" t="s">
        <v>181</v>
      </c>
    </row>
    <row r="250" spans="1:4" x14ac:dyDescent="0.25">
      <c r="B250" s="10"/>
      <c r="C250" s="15" t="s">
        <v>1417</v>
      </c>
      <c r="D250" s="15" t="s">
        <v>1418</v>
      </c>
    </row>
    <row r="251" spans="1:4" x14ac:dyDescent="0.25">
      <c r="B251" s="9" t="s">
        <v>921</v>
      </c>
      <c r="C251" s="592"/>
      <c r="D251" s="592"/>
    </row>
    <row r="252" spans="1:4" x14ac:dyDescent="0.25">
      <c r="B252" s="9" t="s">
        <v>920</v>
      </c>
      <c r="C252" s="592"/>
      <c r="D252" s="592"/>
    </row>
    <row r="253" spans="1:4" x14ac:dyDescent="0.25">
      <c r="B253" s="9" t="s">
        <v>922</v>
      </c>
      <c r="C253" s="592"/>
      <c r="D253" s="592"/>
    </row>
    <row r="254" spans="1:4" x14ac:dyDescent="0.25">
      <c r="B254" s="9" t="s">
        <v>1012</v>
      </c>
      <c r="C254" s="592"/>
      <c r="D254" s="592"/>
    </row>
    <row r="255" spans="1:4" x14ac:dyDescent="0.25">
      <c r="B255" s="9" t="s">
        <v>1013</v>
      </c>
      <c r="C255" s="592"/>
      <c r="D255" s="592"/>
    </row>
    <row r="256" spans="1:4" x14ac:dyDescent="0.25">
      <c r="B256" s="9" t="s">
        <v>1014</v>
      </c>
      <c r="C256" s="592"/>
      <c r="D256" s="592"/>
    </row>
    <row r="257" spans="2:4" x14ac:dyDescent="0.25">
      <c r="B257" s="9" t="s">
        <v>1246</v>
      </c>
      <c r="C257" s="592"/>
      <c r="D257" s="592"/>
    </row>
    <row r="258" spans="2:4" x14ac:dyDescent="0.25">
      <c r="B258" s="9" t="s">
        <v>1247</v>
      </c>
      <c r="C258" s="592"/>
      <c r="D258" s="592"/>
    </row>
    <row r="259" spans="2:4" x14ac:dyDescent="0.25">
      <c r="B259" s="9" t="s">
        <v>1248</v>
      </c>
      <c r="C259" s="592"/>
      <c r="D259" s="592"/>
    </row>
    <row r="260" spans="2:4" x14ac:dyDescent="0.25">
      <c r="B260" s="9" t="s">
        <v>1015</v>
      </c>
      <c r="C260" s="592"/>
      <c r="D260" s="592"/>
    </row>
    <row r="261" spans="2:4" x14ac:dyDescent="0.25">
      <c r="B261" s="9" t="s">
        <v>1154</v>
      </c>
      <c r="C261" s="592"/>
      <c r="D261" s="592"/>
    </row>
    <row r="262" spans="2:4" x14ac:dyDescent="0.25">
      <c r="B262" s="9" t="s">
        <v>1016</v>
      </c>
      <c r="C262" s="592"/>
      <c r="D262" s="592"/>
    </row>
    <row r="263" spans="2:4" x14ac:dyDescent="0.25">
      <c r="B263" s="9" t="s">
        <v>923</v>
      </c>
      <c r="C263" s="592"/>
      <c r="D263" s="592"/>
    </row>
    <row r="264" spans="2:4" x14ac:dyDescent="0.25">
      <c r="B264" s="9" t="s">
        <v>924</v>
      </c>
      <c r="C264" s="592"/>
      <c r="D264" s="592"/>
    </row>
    <row r="266" spans="2:4" x14ac:dyDescent="0.25">
      <c r="B266" s="10"/>
      <c r="C266" s="15" t="s">
        <v>182</v>
      </c>
      <c r="D266" s="15" t="s">
        <v>183</v>
      </c>
    </row>
    <row r="267" spans="2:4" x14ac:dyDescent="0.25">
      <c r="B267" s="9" t="s">
        <v>1181</v>
      </c>
      <c r="C267" s="592"/>
      <c r="D267" s="592"/>
    </row>
    <row r="269" spans="2:4" x14ac:dyDescent="0.25">
      <c r="C269" s="138"/>
    </row>
  </sheetData>
  <sheetProtection algorithmName="SHA-512" hashValue="JXkhug+9iHGD2OfWMWIIGvgpCABhh3/YumVNWssBYUJr03Crq9CSV2ro1FD0vUu1QRmPj+ISlXsR1WWYsSKtyQ==" saltValue="fdaae5LgPnvi1YYKWdLlIw==" spinCount="100000" sheet="1" objects="1" scenarios="1"/>
  <mergeCells count="22">
    <mergeCell ref="E11:F11"/>
    <mergeCell ref="E14:F14"/>
    <mergeCell ref="E15:F15"/>
    <mergeCell ref="E16:F16"/>
    <mergeCell ref="E12:F12"/>
    <mergeCell ref="E6:F6"/>
    <mergeCell ref="E7:F7"/>
    <mergeCell ref="E8:F8"/>
    <mergeCell ref="E9:F9"/>
    <mergeCell ref="E10:F10"/>
    <mergeCell ref="E208:G208"/>
    <mergeCell ref="E57:G57"/>
    <mergeCell ref="A224:I224"/>
    <mergeCell ref="A69:J69"/>
    <mergeCell ref="A71:J71"/>
    <mergeCell ref="E210:G210"/>
    <mergeCell ref="E209:G209"/>
    <mergeCell ref="C21:D21"/>
    <mergeCell ref="C22:E22"/>
    <mergeCell ref="F22:H22"/>
    <mergeCell ref="E206:G206"/>
    <mergeCell ref="E207:G207"/>
  </mergeCells>
  <phoneticPr fontId="80" type="noConversion"/>
  <conditionalFormatting sqref="C214">
    <cfRule type="cellIs" dxfId="59" priority="13" operator="equal">
      <formula>"Yes"</formula>
    </cfRule>
    <cfRule type="cellIs" dxfId="58" priority="16" operator="equal">
      <formula>"No"</formula>
    </cfRule>
  </conditionalFormatting>
  <conditionalFormatting sqref="C218">
    <cfRule type="cellIs" dxfId="57" priority="14" operator="equal">
      <formula>"Yes"</formula>
    </cfRule>
    <cfRule type="cellIs" dxfId="56" priority="15" operator="equal">
      <formula>"No"</formula>
    </cfRule>
  </conditionalFormatting>
  <conditionalFormatting sqref="C247">
    <cfRule type="expression" dxfId="55" priority="1">
      <formula>IFERROR(IF(C243&gt;0.2,"ERROR Common Area Exceeds 20%",""),"")</formula>
    </cfRule>
  </conditionalFormatting>
  <conditionalFormatting sqref="E19">
    <cfRule type="expression" priority="10">
      <formula>$C$19="9% Competitive"</formula>
    </cfRule>
  </conditionalFormatting>
  <conditionalFormatting sqref="E36:E40">
    <cfRule type="expression" dxfId="54" priority="29">
      <formula>$C$40="Yes"</formula>
    </cfRule>
  </conditionalFormatting>
  <conditionalFormatting sqref="E41:E43">
    <cfRule type="expression" dxfId="53" priority="27">
      <formula>$C$40="Yes"</formula>
    </cfRule>
  </conditionalFormatting>
  <conditionalFormatting sqref="G19">
    <cfRule type="expression" dxfId="52" priority="8">
      <formula>$C$19="Bond Gap Financing"</formula>
    </cfRule>
    <cfRule type="expression" dxfId="51" priority="9">
      <formula>$C$19="9% Competitive"</formula>
    </cfRule>
  </conditionalFormatting>
  <conditionalFormatting sqref="G34">
    <cfRule type="expression" dxfId="50" priority="5">
      <formula>$C$34="Yes"</formula>
    </cfRule>
  </conditionalFormatting>
  <conditionalFormatting sqref="G35">
    <cfRule type="expression" dxfId="49" priority="4">
      <formula>$C$35="Yes"</formula>
    </cfRule>
  </conditionalFormatting>
  <conditionalFormatting sqref="G36:G43">
    <cfRule type="expression" dxfId="48" priority="28">
      <formula>$C$38="Yes"</formula>
    </cfRule>
  </conditionalFormatting>
  <dataValidations count="14">
    <dataValidation type="list" allowBlank="1" showInputMessage="1" showErrorMessage="1" sqref="C62:C65 N73:N172 C196 C221 C38 C27:C28 G16 G26:G28 G31 C34:C36 C186 Q73:Q172" xr:uid="{00000000-0002-0000-0300-000000000000}">
      <formula1>"Yes,No"</formula1>
    </dataValidation>
    <dataValidation type="list" allowBlank="1" showInputMessage="1" showErrorMessage="1" sqref="E73:E172" xr:uid="{00000000-0002-0000-0300-000001000000}">
      <formula1>"Recorded Deed,Executed Option,Purchase Contract, Long Term Lease,Proposed to Acquire"</formula1>
    </dataValidation>
    <dataValidation type="list" allowBlank="1" showInputMessage="1" showErrorMessage="1" sqref="C30 H73:H172" xr:uid="{00000000-0002-0000-0300-000002000000}">
      <formula1>"New Construction,Rehabilitation,Adaptive Reuse"</formula1>
    </dataValidation>
    <dataValidation type="list" allowBlank="1" showInputMessage="1" showErrorMessage="1" sqref="C26" xr:uid="{00000000-0002-0000-0300-000003000000}">
      <formula1>"Families,Seniors,PSH,Integrated PSH"</formula1>
    </dataValidation>
    <dataValidation type="list" allowBlank="1" showInputMessage="1" showErrorMessage="1" sqref="C29" xr:uid="{00000000-0002-0000-0300-000004000000}">
      <formula1>"Single Family, Multifamily"</formula1>
    </dataValidation>
    <dataValidation type="list" allowBlank="1" showInputMessage="1" showErrorMessage="1" sqref="G29" xr:uid="{00000000-0002-0000-0300-000005000000}">
      <formula1>"None,Davis Bacon,Ohio Prevailing Wage,Other"</formula1>
    </dataValidation>
    <dataValidation type="list" allowBlank="1" showInputMessage="1" showErrorMessage="1" sqref="E62" xr:uid="{00000000-0002-0000-0300-000006000000}">
      <formula1>"55 and Older,62 and Older,N/A"</formula1>
    </dataValidation>
    <dataValidation type="list" allowBlank="1" showInputMessage="1" showErrorMessage="1" sqref="C50 C52:C57 G50 G62:G65" xr:uid="{00000000-0002-0000-0300-000007000000}">
      <formula1>"Yes,No,N/A"</formula1>
    </dataValidation>
    <dataValidation type="whole" allowBlank="1" showInputMessage="1" showErrorMessage="1" sqref="G11:G12 G73:G172" xr:uid="{00000000-0002-0000-0300-000008000000}">
      <formula1>10000000000</formula1>
      <formula2>99999999999</formula2>
    </dataValidation>
    <dataValidation type="whole" allowBlank="1" showInputMessage="1" showErrorMessage="1" sqref="C73:C172" xr:uid="{00000000-0002-0000-0300-000009000000}">
      <formula1>10000</formula1>
      <formula2>99999</formula2>
    </dataValidation>
    <dataValidation type="list" allowBlank="1" showInputMessage="1" showErrorMessage="1" sqref="O73:O172" xr:uid="{00000000-0002-0000-0300-00000A000000}">
      <formula1>"Single Family,Duplex/ Triplex/ Quad,Townhome,Low Rise (1-6 stories),High Rise (7+ stories)"</formula1>
    </dataValidation>
    <dataValidation type="list" allowBlank="1" showInputMessage="1" showErrorMessage="1" sqref="C25" xr:uid="{00000000-0002-0000-0300-00000D000000}">
      <formula1>"New Affordability,Preserved Affordability"</formula1>
    </dataValidation>
    <dataValidation type="list" allowBlank="1" showInputMessage="1" showErrorMessage="1" sqref="C49" xr:uid="{00000000-0002-0000-0300-00000E000000}">
      <formula1>"Existing,Anticipated,N/A"</formula1>
    </dataValidation>
    <dataValidation type="list" allowBlank="1" showInputMessage="1" showErrorMessage="1" sqref="C39" xr:uid="{00000000-0002-0000-0300-000010000000}">
      <formula1>"Yes, No"</formula1>
    </dataValidation>
  </dataValidations>
  <hyperlinks>
    <hyperlink ref="E7" r:id="rId1" xr:uid="{00000000-0004-0000-0300-000000000000}"/>
    <hyperlink ref="E6" r:id="rId2" xr:uid="{00000000-0004-0000-0300-000001000000}"/>
    <hyperlink ref="E11" r:id="rId3" display="11-Digit Primary Census Tract, No Spaces" xr:uid="{00000000-0004-0000-0300-000002000000}"/>
    <hyperlink ref="B62" r:id="rId4" xr:uid="{00000000-0004-0000-0300-000003000000}"/>
    <hyperlink ref="B10" r:id="rId5" xr:uid="{00000000-0004-0000-0300-000004000000}"/>
    <hyperlink ref="E8" r:id="rId6" xr:uid="{00000000-0004-0000-0300-000006000000}"/>
    <hyperlink ref="E9" r:id="rId7" xr:uid="{00000000-0004-0000-0300-000007000000}"/>
    <hyperlink ref="E10" r:id="rId8" xr:uid="{00000000-0004-0000-0300-000008000000}"/>
    <hyperlink ref="B14" r:id="rId9" xr:uid="{00000000-0004-0000-0300-000009000000}"/>
    <hyperlink ref="E11:F11" r:id="rId10" display="11-Digit 2020 Census Tract" xr:uid="{95FA1178-277C-4897-A1D4-41399963E78E}"/>
    <hyperlink ref="E6:F6" r:id="rId11" display="Latitude" xr:uid="{4A04EA6D-6381-4108-B03A-CCED007AAA92}"/>
    <hyperlink ref="E7:F7" r:id="rId12" display="Longitude" xr:uid="{2B7CD95A-DC0C-47AC-974F-A44E1E35CCF6}"/>
    <hyperlink ref="E12" r:id="rId13" display="11-Digit Primary Census Tract, No Spaces" xr:uid="{EF8BC7D8-7B8C-4A88-88C4-3110033AFBA3}"/>
    <hyperlink ref="E12:F12" r:id="rId14" display="11-Digit 2020 Census Tract" xr:uid="{0F74FD18-D9FA-4CD3-BCA2-900FDF6819CD}"/>
    <hyperlink ref="E8:F8" r:id="rId15" display="State Senate District" xr:uid="{9D5287D4-A166-4933-834C-36A077065357}"/>
    <hyperlink ref="E9:F9" r:id="rId16" display="State House District" xr:uid="{8FF69409-403E-4346-9749-3708E8935254}"/>
    <hyperlink ref="E10:F10" r:id="rId17" display="US Congressional District" xr:uid="{C9B622D1-82C0-4473-AA4B-3316A7998058}"/>
    <hyperlink ref="B11" r:id="rId18" xr:uid="{00000000-0004-0000-0300-000005000000}"/>
  </hyperlinks>
  <pageMargins left="0.7" right="0.7" top="0.75" bottom="0.75" header="0.3" footer="0.3"/>
  <pageSetup scale="28" orientation="portrait" r:id="rId19"/>
  <drawing r:id="rId20"/>
  <legacyDrawing r:id="rId2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557"/>
  <sheetViews>
    <sheetView showGridLines="0" topLeftCell="A311" zoomScale="80" zoomScaleNormal="80" workbookViewId="0">
      <selection activeCell="J331" sqref="J331"/>
    </sheetView>
  </sheetViews>
  <sheetFormatPr defaultColWidth="9" defaultRowHeight="13.8" x14ac:dyDescent="0.25"/>
  <cols>
    <col min="1" max="1" width="2.3984375" style="5" customWidth="1"/>
    <col min="2" max="2" width="8.5" style="5" customWidth="1"/>
    <col min="3" max="3" width="17.19921875" style="5" customWidth="1"/>
    <col min="4" max="4" width="16.19921875" style="5" customWidth="1"/>
    <col min="5" max="5" width="10.69921875" style="5" customWidth="1"/>
    <col min="6" max="6" width="15.5" style="5" customWidth="1"/>
    <col min="7" max="7" width="17" style="5" bestFit="1" customWidth="1"/>
    <col min="8" max="8" width="16.3984375" style="5" customWidth="1"/>
    <col min="9" max="9" width="16.19921875" style="5" customWidth="1"/>
    <col min="10" max="10" width="15.5" style="5" customWidth="1"/>
    <col min="11" max="11" width="16.5" style="5" customWidth="1"/>
    <col min="12" max="12" width="17.59765625" style="5" customWidth="1"/>
    <col min="13" max="15" width="15.19921875" style="5" customWidth="1"/>
    <col min="16" max="18" width="13.59765625" style="5" customWidth="1"/>
    <col min="19" max="19" width="17.19921875" style="138" customWidth="1"/>
    <col min="20" max="22" width="13.59765625" style="138" customWidth="1"/>
    <col min="23" max="23" width="14" style="138" bestFit="1" customWidth="1"/>
    <col min="24" max="24" width="18.3984375" style="138" bestFit="1" customWidth="1"/>
    <col min="25" max="25" width="12.09765625" style="138" customWidth="1"/>
    <col min="26" max="26" width="27.09765625" style="138" customWidth="1"/>
    <col min="27" max="16384" width="9" style="138"/>
  </cols>
  <sheetData>
    <row r="1" spans="1:18" ht="54.9" customHeight="1" x14ac:dyDescent="0.25"/>
    <row r="2" spans="1:18" s="139" customFormat="1" ht="23.4" x14ac:dyDescent="0.4">
      <c r="A2" s="366" t="s">
        <v>929</v>
      </c>
      <c r="B2" s="1"/>
      <c r="C2" s="1"/>
      <c r="D2" s="1"/>
      <c r="E2" s="1"/>
      <c r="F2" s="1"/>
      <c r="G2" s="1"/>
      <c r="H2" s="1"/>
      <c r="I2" s="1"/>
      <c r="J2" s="1"/>
      <c r="K2" s="1"/>
      <c r="L2" s="1"/>
      <c r="M2" s="1"/>
      <c r="N2" s="1"/>
      <c r="O2" s="1"/>
      <c r="P2" s="1"/>
      <c r="Q2" s="1"/>
      <c r="R2" s="1"/>
    </row>
    <row r="3" spans="1:18" s="140" customFormat="1" ht="15" x14ac:dyDescent="0.25">
      <c r="A3" s="367" t="s">
        <v>1108</v>
      </c>
      <c r="B3" s="2"/>
      <c r="C3" s="35">
        <f>'Project Details'!C7</f>
        <v>0</v>
      </c>
      <c r="D3" s="35"/>
      <c r="E3" s="2"/>
      <c r="F3" s="2"/>
      <c r="G3" s="2"/>
      <c r="H3" s="2"/>
      <c r="I3" s="2"/>
      <c r="J3" s="2"/>
      <c r="K3" s="2"/>
      <c r="L3" s="2"/>
      <c r="M3" s="2"/>
      <c r="N3" s="2"/>
      <c r="O3" s="2"/>
      <c r="P3" s="2"/>
      <c r="Q3" s="2"/>
      <c r="R3" s="2"/>
    </row>
    <row r="5" spans="1:18" s="143" customFormat="1" ht="24.9" customHeight="1" x14ac:dyDescent="0.25">
      <c r="A5" s="464" t="s">
        <v>232</v>
      </c>
      <c r="B5" s="134"/>
      <c r="C5" s="134"/>
      <c r="D5" s="134"/>
      <c r="E5" s="134"/>
      <c r="F5" s="134"/>
      <c r="G5" s="134"/>
      <c r="H5" s="134"/>
      <c r="I5" s="134"/>
      <c r="J5" s="134"/>
      <c r="K5" s="134"/>
      <c r="L5" s="134"/>
      <c r="M5" s="134"/>
      <c r="N5" s="134"/>
      <c r="O5" s="134"/>
      <c r="P5" s="134"/>
      <c r="Q5" s="134"/>
      <c r="R5" s="134"/>
    </row>
    <row r="6" spans="1:18" ht="104.25" customHeight="1" x14ac:dyDescent="0.25">
      <c r="A6" s="773" t="s">
        <v>4886</v>
      </c>
      <c r="B6" s="773"/>
      <c r="C6" s="773"/>
      <c r="D6" s="773"/>
      <c r="E6" s="773"/>
      <c r="F6" s="773"/>
      <c r="G6" s="773"/>
      <c r="H6" s="773"/>
      <c r="I6" s="773"/>
      <c r="J6" s="773"/>
      <c r="K6" s="773"/>
      <c r="L6" s="773"/>
      <c r="M6" s="773"/>
      <c r="N6" s="773"/>
      <c r="O6" s="773"/>
      <c r="P6" s="773"/>
      <c r="Q6" s="773"/>
      <c r="R6" s="773"/>
    </row>
    <row r="7" spans="1:18" x14ac:dyDescent="0.25">
      <c r="B7" s="24"/>
      <c r="C7" s="24"/>
      <c r="D7" s="24"/>
      <c r="E7" s="24"/>
      <c r="F7" s="24"/>
      <c r="G7" s="24"/>
      <c r="H7" s="24"/>
      <c r="I7" s="24"/>
      <c r="J7" s="24"/>
      <c r="K7" s="24"/>
    </row>
    <row r="8" spans="1:18" s="157" customFormat="1" ht="41.4" x14ac:dyDescent="0.25">
      <c r="A8" s="21"/>
      <c r="B8" s="21"/>
      <c r="C8" s="52" t="s">
        <v>173</v>
      </c>
      <c r="D8" s="52" t="s">
        <v>217</v>
      </c>
      <c r="E8" s="52" t="s">
        <v>218</v>
      </c>
      <c r="F8" s="52" t="s">
        <v>1259</v>
      </c>
      <c r="G8" s="52" t="s">
        <v>4890</v>
      </c>
      <c r="H8" s="52" t="s">
        <v>4889</v>
      </c>
      <c r="I8" s="52" t="s">
        <v>4888</v>
      </c>
      <c r="J8" s="52" t="s">
        <v>4891</v>
      </c>
      <c r="K8" s="52" t="s">
        <v>4892</v>
      </c>
      <c r="L8" s="52" t="s">
        <v>4893</v>
      </c>
      <c r="M8" s="52" t="s">
        <v>4894</v>
      </c>
      <c r="N8" s="52" t="s">
        <v>228</v>
      </c>
      <c r="O8" s="52" t="s">
        <v>229</v>
      </c>
      <c r="P8" s="52" t="s">
        <v>230</v>
      </c>
    </row>
    <row r="9" spans="1:18" x14ac:dyDescent="0.25">
      <c r="C9" s="577"/>
      <c r="D9" s="234"/>
      <c r="E9" s="234"/>
      <c r="F9" s="637"/>
      <c r="G9" s="235"/>
      <c r="H9" s="235"/>
      <c r="I9" s="641"/>
      <c r="J9" s="641"/>
      <c r="K9" s="644" t="str">
        <f>IF(J9+I9=0,"",J9+I9)</f>
        <v/>
      </c>
      <c r="L9" s="644" t="str">
        <f>IFERROR(IF(OR($D9="",$G9=""),"",ROUNDDOWN(INDEX(Data!$M$11:$W$98,MATCH('Project Details'!$C$12,Data!$L$11:$L$98,0),MATCH(VLOOKUP($D9,Data!$Y$11:$Z$16,2),Data!$M$10:$W$10,0))*2*'Budget &amp; Costs'!G9*0.3/12,0)),"N/A")</f>
        <v/>
      </c>
      <c r="M9" s="641"/>
      <c r="N9" s="647" t="str">
        <f>IF(OR(M9="",M9=0),"N/A","Select Here")</f>
        <v>N/A</v>
      </c>
      <c r="O9" s="279">
        <f t="shared" ref="O9:O44" si="0">IF(C9="",0,(I9+M9))</f>
        <v>0</v>
      </c>
      <c r="P9" s="279">
        <f t="shared" ref="P9:P44" si="1">O9*C9</f>
        <v>0</v>
      </c>
      <c r="Q9" s="157"/>
      <c r="R9" s="157"/>
    </row>
    <row r="10" spans="1:18" x14ac:dyDescent="0.25">
      <c r="C10" s="234"/>
      <c r="D10" s="234"/>
      <c r="E10" s="234"/>
      <c r="F10" s="637"/>
      <c r="G10" s="235"/>
      <c r="H10" s="235"/>
      <c r="I10" s="641"/>
      <c r="J10" s="641"/>
      <c r="K10" s="644" t="str">
        <f t="shared" ref="K10:K44" si="2">IF(J10+I10=0,"",J10+I10)</f>
        <v/>
      </c>
      <c r="L10" s="644" t="str">
        <f>IFERROR(IF(OR($D10="",$G10=""),"",ROUNDDOWN(INDEX(Data!$M$11:$W$98,MATCH('Project Details'!$C$12,Data!$L$11:$L$98,0),MATCH(VLOOKUP($D10,Data!$Y$11:$Z$16,2),Data!$M$10:$W$10,0))*2*'Budget &amp; Costs'!G10*0.3/12,0)),"N/A")</f>
        <v/>
      </c>
      <c r="M10" s="641"/>
      <c r="N10" s="647" t="str">
        <f t="shared" ref="N10:N44" si="3">IF(OR(M10="",M10=0),"N/A","Select Here")</f>
        <v>N/A</v>
      </c>
      <c r="O10" s="279">
        <f t="shared" si="0"/>
        <v>0</v>
      </c>
      <c r="P10" s="279">
        <f t="shared" si="1"/>
        <v>0</v>
      </c>
      <c r="Q10" s="157"/>
      <c r="R10" s="157"/>
    </row>
    <row r="11" spans="1:18" x14ac:dyDescent="0.25">
      <c r="C11" s="234"/>
      <c r="D11" s="234"/>
      <c r="E11" s="234"/>
      <c r="F11" s="637"/>
      <c r="G11" s="235"/>
      <c r="H11" s="235"/>
      <c r="I11" s="641"/>
      <c r="J11" s="641"/>
      <c r="K11" s="644" t="str">
        <f t="shared" si="2"/>
        <v/>
      </c>
      <c r="L11" s="644" t="str">
        <f>IFERROR(IF(OR($D11="",$G11=""),"",ROUNDDOWN(INDEX(Data!$M$11:$W$98,MATCH('Project Details'!$C$12,Data!$L$11:$L$98,0),MATCH(VLOOKUP($D11,Data!$Y$11:$Z$16,2),Data!$M$10:$W$10,0))*2*'Budget &amp; Costs'!G11*0.3/12,0)),"N/A")</f>
        <v/>
      </c>
      <c r="M11" s="641"/>
      <c r="N11" s="647" t="str">
        <f t="shared" si="3"/>
        <v>N/A</v>
      </c>
      <c r="O11" s="279">
        <f t="shared" si="0"/>
        <v>0</v>
      </c>
      <c r="P11" s="279">
        <f t="shared" si="1"/>
        <v>0</v>
      </c>
      <c r="Q11" s="157"/>
      <c r="R11" s="157"/>
    </row>
    <row r="12" spans="1:18" x14ac:dyDescent="0.25">
      <c r="C12" s="234"/>
      <c r="D12" s="234"/>
      <c r="E12" s="234"/>
      <c r="F12" s="637"/>
      <c r="G12" s="235"/>
      <c r="H12" s="235"/>
      <c r="I12" s="641"/>
      <c r="J12" s="641"/>
      <c r="K12" s="644" t="str">
        <f t="shared" si="2"/>
        <v/>
      </c>
      <c r="L12" s="644" t="str">
        <f>IFERROR(IF(OR($D12="",$G12=""),"",ROUNDDOWN(INDEX(Data!$M$11:$W$98,MATCH('Project Details'!$C$12,Data!$L$11:$L$98,0),MATCH(VLOOKUP($D12,Data!$Y$11:$Z$16,2),Data!$M$10:$W$10,0))*2*'Budget &amp; Costs'!G12*0.3/12,0)),"N/A")</f>
        <v/>
      </c>
      <c r="M12" s="641"/>
      <c r="N12" s="647" t="str">
        <f t="shared" si="3"/>
        <v>N/A</v>
      </c>
      <c r="O12" s="279">
        <f t="shared" si="0"/>
        <v>0</v>
      </c>
      <c r="P12" s="279">
        <f t="shared" si="1"/>
        <v>0</v>
      </c>
      <c r="Q12" s="157"/>
      <c r="R12" s="157"/>
    </row>
    <row r="13" spans="1:18" x14ac:dyDescent="0.25">
      <c r="C13" s="234"/>
      <c r="D13" s="234"/>
      <c r="E13" s="234"/>
      <c r="F13" s="637"/>
      <c r="G13" s="235"/>
      <c r="H13" s="235"/>
      <c r="I13" s="641"/>
      <c r="J13" s="641"/>
      <c r="K13" s="644" t="str">
        <f t="shared" si="2"/>
        <v/>
      </c>
      <c r="L13" s="644" t="str">
        <f>IFERROR(IF(OR($D13="",$G13=""),"",ROUNDDOWN(INDEX(Data!$M$11:$W$98,MATCH('Project Details'!$C$12,Data!$L$11:$L$98,0),MATCH(VLOOKUP($D13,Data!$Y$11:$Z$16,2),Data!$M$10:$W$10,0))*2*'Budget &amp; Costs'!G13*0.3/12,0)),"N/A")</f>
        <v/>
      </c>
      <c r="M13" s="641"/>
      <c r="N13" s="647" t="str">
        <f t="shared" si="3"/>
        <v>N/A</v>
      </c>
      <c r="O13" s="279">
        <f t="shared" si="0"/>
        <v>0</v>
      </c>
      <c r="P13" s="279">
        <f t="shared" si="1"/>
        <v>0</v>
      </c>
      <c r="Q13" s="157"/>
      <c r="R13" s="157"/>
    </row>
    <row r="14" spans="1:18" x14ac:dyDescent="0.25">
      <c r="C14" s="234"/>
      <c r="D14" s="234"/>
      <c r="E14" s="234"/>
      <c r="F14" s="637"/>
      <c r="G14" s="235"/>
      <c r="H14" s="235"/>
      <c r="I14" s="641"/>
      <c r="J14" s="641"/>
      <c r="K14" s="644" t="str">
        <f t="shared" si="2"/>
        <v/>
      </c>
      <c r="L14" s="644" t="str">
        <f>IFERROR(IF(OR($D14="",$G14=""),"",ROUNDDOWN(INDEX(Data!$M$11:$W$98,MATCH('Project Details'!$C$12,Data!$L$11:$L$98,0),MATCH(VLOOKUP($D14,Data!$Y$11:$Z$16,2),Data!$M$10:$W$10,0))*2*'Budget &amp; Costs'!G14*0.3/12,0)),"N/A")</f>
        <v/>
      </c>
      <c r="M14" s="641"/>
      <c r="N14" s="647" t="str">
        <f t="shared" si="3"/>
        <v>N/A</v>
      </c>
      <c r="O14" s="279">
        <f t="shared" si="0"/>
        <v>0</v>
      </c>
      <c r="P14" s="279">
        <f t="shared" si="1"/>
        <v>0</v>
      </c>
      <c r="Q14" s="157"/>
      <c r="R14" s="157"/>
    </row>
    <row r="15" spans="1:18" x14ac:dyDescent="0.25">
      <c r="C15" s="234"/>
      <c r="D15" s="234"/>
      <c r="E15" s="234"/>
      <c r="F15" s="637"/>
      <c r="G15" s="235"/>
      <c r="H15" s="235"/>
      <c r="I15" s="641"/>
      <c r="J15" s="641"/>
      <c r="K15" s="644" t="str">
        <f t="shared" si="2"/>
        <v/>
      </c>
      <c r="L15" s="644" t="str">
        <f>IFERROR(IF(OR($D15="",$G15=""),"",ROUNDDOWN(INDEX(Data!$M$11:$W$98,MATCH('Project Details'!$C$12,Data!$L$11:$L$98,0),MATCH(VLOOKUP($D15,Data!$Y$11:$Z$16,2),Data!$M$10:$W$10,0))*2*'Budget &amp; Costs'!G15*0.3/12,0)),"N/A")</f>
        <v/>
      </c>
      <c r="M15" s="641"/>
      <c r="N15" s="647" t="str">
        <f t="shared" si="3"/>
        <v>N/A</v>
      </c>
      <c r="O15" s="279">
        <f t="shared" si="0"/>
        <v>0</v>
      </c>
      <c r="P15" s="279">
        <f t="shared" si="1"/>
        <v>0</v>
      </c>
      <c r="Q15" s="157"/>
      <c r="R15" s="157"/>
    </row>
    <row r="16" spans="1:18" x14ac:dyDescent="0.25">
      <c r="C16" s="234"/>
      <c r="D16" s="234"/>
      <c r="E16" s="234"/>
      <c r="F16" s="637"/>
      <c r="G16" s="235"/>
      <c r="H16" s="235"/>
      <c r="I16" s="641"/>
      <c r="J16" s="641"/>
      <c r="K16" s="644" t="str">
        <f t="shared" si="2"/>
        <v/>
      </c>
      <c r="L16" s="644" t="str">
        <f>IFERROR(IF(OR($D16="",$G16=""),"",ROUNDDOWN(INDEX(Data!$M$11:$W$98,MATCH('Project Details'!$C$12,Data!$L$11:$L$98,0),MATCH(VLOOKUP($D16,Data!$Y$11:$Z$16,2),Data!$M$10:$W$10,0))*2*'Budget &amp; Costs'!G16*0.3/12,0)),"N/A")</f>
        <v/>
      </c>
      <c r="M16" s="641"/>
      <c r="N16" s="647" t="str">
        <f t="shared" si="3"/>
        <v>N/A</v>
      </c>
      <c r="O16" s="279">
        <f t="shared" si="0"/>
        <v>0</v>
      </c>
      <c r="P16" s="279">
        <f t="shared" si="1"/>
        <v>0</v>
      </c>
      <c r="Q16" s="157"/>
      <c r="R16" s="157"/>
    </row>
    <row r="17" spans="3:18" x14ac:dyDescent="0.25">
      <c r="C17" s="234"/>
      <c r="D17" s="234"/>
      <c r="E17" s="234"/>
      <c r="F17" s="637"/>
      <c r="G17" s="235"/>
      <c r="H17" s="235"/>
      <c r="I17" s="641"/>
      <c r="J17" s="641"/>
      <c r="K17" s="644" t="str">
        <f t="shared" si="2"/>
        <v/>
      </c>
      <c r="L17" s="644" t="str">
        <f>IFERROR(IF(OR($D17="",$G17=""),"",ROUNDDOWN(INDEX(Data!$M$11:$W$98,MATCH('Project Details'!$C$12,Data!$L$11:$L$98,0),MATCH(VLOOKUP($D17,Data!$Y$11:$Z$16,2),Data!$M$10:$W$10,0))*2*'Budget &amp; Costs'!G17*0.3/12,0)),"N/A")</f>
        <v/>
      </c>
      <c r="M17" s="641"/>
      <c r="N17" s="647" t="str">
        <f t="shared" si="3"/>
        <v>N/A</v>
      </c>
      <c r="O17" s="279">
        <f t="shared" si="0"/>
        <v>0</v>
      </c>
      <c r="P17" s="279">
        <f t="shared" si="1"/>
        <v>0</v>
      </c>
      <c r="Q17" s="157"/>
      <c r="R17" s="157"/>
    </row>
    <row r="18" spans="3:18" x14ac:dyDescent="0.25">
      <c r="C18" s="234"/>
      <c r="D18" s="234"/>
      <c r="E18" s="234"/>
      <c r="F18" s="637"/>
      <c r="G18" s="235"/>
      <c r="H18" s="235"/>
      <c r="I18" s="641"/>
      <c r="J18" s="641"/>
      <c r="K18" s="644" t="str">
        <f t="shared" si="2"/>
        <v/>
      </c>
      <c r="L18" s="644" t="str">
        <f>IFERROR(IF(OR($D18="",$G18=""),"",ROUNDDOWN(INDEX(Data!$M$11:$W$98,MATCH('Project Details'!$C$12,Data!$L$11:$L$98,0),MATCH(VLOOKUP($D18,Data!$Y$11:$Z$16,2),Data!$M$10:$W$10,0))*2*'Budget &amp; Costs'!G18*0.3/12,0)),"N/A")</f>
        <v/>
      </c>
      <c r="M18" s="641"/>
      <c r="N18" s="647" t="str">
        <f t="shared" si="3"/>
        <v>N/A</v>
      </c>
      <c r="O18" s="279">
        <f t="shared" si="0"/>
        <v>0</v>
      </c>
      <c r="P18" s="279">
        <f t="shared" si="1"/>
        <v>0</v>
      </c>
      <c r="Q18" s="157"/>
      <c r="R18" s="157"/>
    </row>
    <row r="19" spans="3:18" x14ac:dyDescent="0.25">
      <c r="C19" s="234"/>
      <c r="D19" s="234"/>
      <c r="E19" s="234"/>
      <c r="F19" s="637"/>
      <c r="G19" s="235"/>
      <c r="H19" s="235"/>
      <c r="I19" s="641"/>
      <c r="J19" s="641"/>
      <c r="K19" s="644" t="str">
        <f t="shared" si="2"/>
        <v/>
      </c>
      <c r="L19" s="644" t="str">
        <f>IFERROR(IF(OR($D19="",$G19=""),"",ROUNDDOWN(INDEX(Data!$M$11:$W$98,MATCH('Project Details'!$C$12,Data!$L$11:$L$98,0),MATCH(VLOOKUP($D19,Data!$Y$11:$Z$16,2),Data!$M$10:$W$10,0))*2*'Budget &amp; Costs'!G19*0.3/12,0)),"N/A")</f>
        <v/>
      </c>
      <c r="M19" s="641"/>
      <c r="N19" s="647" t="str">
        <f t="shared" si="3"/>
        <v>N/A</v>
      </c>
      <c r="O19" s="279">
        <f t="shared" si="0"/>
        <v>0</v>
      </c>
      <c r="P19" s="279">
        <f t="shared" si="1"/>
        <v>0</v>
      </c>
      <c r="Q19" s="157"/>
      <c r="R19" s="157"/>
    </row>
    <row r="20" spans="3:18" x14ac:dyDescent="0.25">
      <c r="C20" s="234"/>
      <c r="D20" s="234"/>
      <c r="E20" s="234"/>
      <c r="F20" s="637"/>
      <c r="G20" s="235"/>
      <c r="H20" s="235"/>
      <c r="I20" s="641"/>
      <c r="J20" s="641"/>
      <c r="K20" s="644" t="str">
        <f t="shared" si="2"/>
        <v/>
      </c>
      <c r="L20" s="644" t="str">
        <f>IFERROR(IF(OR($D20="",$G20=""),"",ROUNDDOWN(INDEX(Data!$M$11:$W$98,MATCH('Project Details'!$C$12,Data!$L$11:$L$98,0),MATCH(VLOOKUP($D20,Data!$Y$11:$Z$16,2),Data!$M$10:$W$10,0))*2*'Budget &amp; Costs'!G20*0.3/12,0)),"N/A")</f>
        <v/>
      </c>
      <c r="M20" s="641"/>
      <c r="N20" s="647" t="str">
        <f t="shared" si="3"/>
        <v>N/A</v>
      </c>
      <c r="O20" s="279">
        <f t="shared" si="0"/>
        <v>0</v>
      </c>
      <c r="P20" s="279">
        <f t="shared" si="1"/>
        <v>0</v>
      </c>
      <c r="Q20" s="157"/>
      <c r="R20" s="157"/>
    </row>
    <row r="21" spans="3:18" x14ac:dyDescent="0.25">
      <c r="C21" s="234"/>
      <c r="D21" s="234"/>
      <c r="E21" s="234"/>
      <c r="F21" s="637"/>
      <c r="G21" s="235"/>
      <c r="H21" s="235"/>
      <c r="I21" s="641"/>
      <c r="J21" s="641"/>
      <c r="K21" s="644" t="str">
        <f t="shared" si="2"/>
        <v/>
      </c>
      <c r="L21" s="644" t="str">
        <f>IFERROR(IF(OR($D21="",$G21=""),"",ROUNDDOWN(INDEX(Data!$M$11:$W$98,MATCH('Project Details'!$C$12,Data!$L$11:$L$98,0),MATCH(VLOOKUP($D21,Data!$Y$11:$Z$16,2),Data!$M$10:$W$10,0))*2*'Budget &amp; Costs'!G21*0.3/12,0)),"N/A")</f>
        <v/>
      </c>
      <c r="M21" s="641"/>
      <c r="N21" s="647" t="str">
        <f t="shared" si="3"/>
        <v>N/A</v>
      </c>
      <c r="O21" s="279">
        <f t="shared" si="0"/>
        <v>0</v>
      </c>
      <c r="P21" s="279">
        <f t="shared" si="1"/>
        <v>0</v>
      </c>
      <c r="Q21" s="157"/>
      <c r="R21" s="157"/>
    </row>
    <row r="22" spans="3:18" x14ac:dyDescent="0.25">
      <c r="C22" s="234"/>
      <c r="D22" s="234"/>
      <c r="E22" s="234"/>
      <c r="F22" s="637"/>
      <c r="G22" s="235"/>
      <c r="H22" s="235"/>
      <c r="I22" s="641"/>
      <c r="J22" s="641"/>
      <c r="K22" s="644" t="str">
        <f t="shared" si="2"/>
        <v/>
      </c>
      <c r="L22" s="644" t="str">
        <f>IFERROR(IF(OR($D22="",$G22=""),"",ROUNDDOWN(INDEX(Data!$M$11:$W$98,MATCH('Project Details'!$C$12,Data!$L$11:$L$98,0),MATCH(VLOOKUP($D22,Data!$Y$11:$Z$16,2),Data!$M$10:$W$10,0))*2*'Budget &amp; Costs'!G22*0.3/12,0)),"N/A")</f>
        <v/>
      </c>
      <c r="M22" s="641"/>
      <c r="N22" s="647" t="str">
        <f t="shared" si="3"/>
        <v>N/A</v>
      </c>
      <c r="O22" s="279">
        <f t="shared" si="0"/>
        <v>0</v>
      </c>
      <c r="P22" s="279">
        <f t="shared" si="1"/>
        <v>0</v>
      </c>
      <c r="Q22" s="157"/>
      <c r="R22" s="157"/>
    </row>
    <row r="23" spans="3:18" x14ac:dyDescent="0.25">
      <c r="C23" s="234"/>
      <c r="D23" s="234"/>
      <c r="E23" s="234"/>
      <c r="F23" s="637"/>
      <c r="G23" s="235"/>
      <c r="H23" s="235"/>
      <c r="I23" s="641"/>
      <c r="J23" s="641"/>
      <c r="K23" s="644" t="str">
        <f t="shared" si="2"/>
        <v/>
      </c>
      <c r="L23" s="644" t="str">
        <f>IFERROR(IF(OR($D23="",$G23=""),"",ROUNDDOWN(INDEX(Data!$M$11:$W$98,MATCH('Project Details'!$C$12,Data!$L$11:$L$98,0),MATCH(VLOOKUP($D23,Data!$Y$11:$Z$16,2),Data!$M$10:$W$10,0))*2*'Budget &amp; Costs'!G23*0.3/12,0)),"N/A")</f>
        <v/>
      </c>
      <c r="M23" s="641"/>
      <c r="N23" s="647" t="str">
        <f t="shared" si="3"/>
        <v>N/A</v>
      </c>
      <c r="O23" s="279">
        <f t="shared" si="0"/>
        <v>0</v>
      </c>
      <c r="P23" s="279">
        <f t="shared" si="1"/>
        <v>0</v>
      </c>
      <c r="Q23" s="157"/>
      <c r="R23" s="157"/>
    </row>
    <row r="24" spans="3:18" x14ac:dyDescent="0.25">
      <c r="C24" s="234"/>
      <c r="D24" s="234"/>
      <c r="E24" s="234"/>
      <c r="F24" s="637"/>
      <c r="G24" s="235"/>
      <c r="H24" s="235"/>
      <c r="I24" s="641"/>
      <c r="J24" s="641"/>
      <c r="K24" s="644" t="str">
        <f t="shared" si="2"/>
        <v/>
      </c>
      <c r="L24" s="644" t="str">
        <f>IFERROR(IF(OR($D24="",$G24=""),"",ROUNDDOWN(INDEX(Data!$M$11:$W$98,MATCH('Project Details'!$C$12,Data!$L$11:$L$98,0),MATCH(VLOOKUP($D24,Data!$Y$11:$Z$16,2),Data!$M$10:$W$10,0))*2*'Budget &amp; Costs'!G24*0.3/12,0)),"N/A")</f>
        <v/>
      </c>
      <c r="M24" s="641"/>
      <c r="N24" s="647" t="str">
        <f t="shared" si="3"/>
        <v>N/A</v>
      </c>
      <c r="O24" s="279">
        <f t="shared" si="0"/>
        <v>0</v>
      </c>
      <c r="P24" s="279">
        <f t="shared" si="1"/>
        <v>0</v>
      </c>
      <c r="Q24" s="157"/>
      <c r="R24" s="157"/>
    </row>
    <row r="25" spans="3:18" x14ac:dyDescent="0.25">
      <c r="C25" s="234"/>
      <c r="D25" s="234"/>
      <c r="E25" s="234"/>
      <c r="F25" s="637"/>
      <c r="G25" s="235"/>
      <c r="H25" s="235"/>
      <c r="I25" s="641"/>
      <c r="J25" s="641"/>
      <c r="K25" s="644" t="str">
        <f t="shared" si="2"/>
        <v/>
      </c>
      <c r="L25" s="644" t="str">
        <f>IFERROR(IF(OR($D25="",$G25=""),"",ROUNDDOWN(INDEX(Data!$M$11:$W$98,MATCH('Project Details'!$C$12,Data!$L$11:$L$98,0),MATCH(VLOOKUP($D25,Data!$Y$11:$Z$16,2),Data!$M$10:$W$10,0))*2*'Budget &amp; Costs'!G25*0.3/12,0)),"N/A")</f>
        <v/>
      </c>
      <c r="M25" s="641"/>
      <c r="N25" s="647" t="str">
        <f t="shared" si="3"/>
        <v>N/A</v>
      </c>
      <c r="O25" s="279">
        <f t="shared" si="0"/>
        <v>0</v>
      </c>
      <c r="P25" s="279">
        <f t="shared" si="1"/>
        <v>0</v>
      </c>
      <c r="Q25" s="157"/>
      <c r="R25" s="157"/>
    </row>
    <row r="26" spans="3:18" x14ac:dyDescent="0.25">
      <c r="C26" s="234"/>
      <c r="D26" s="234"/>
      <c r="E26" s="234"/>
      <c r="F26" s="637"/>
      <c r="G26" s="235"/>
      <c r="H26" s="235"/>
      <c r="I26" s="641"/>
      <c r="J26" s="641"/>
      <c r="K26" s="644" t="str">
        <f t="shared" si="2"/>
        <v/>
      </c>
      <c r="L26" s="644" t="str">
        <f>IFERROR(IF(OR($D26="",$G26=""),"",ROUNDDOWN(INDEX(Data!$M$11:$W$98,MATCH('Project Details'!$C$12,Data!$L$11:$L$98,0),MATCH(VLOOKUP($D26,Data!$Y$11:$Z$16,2),Data!$M$10:$W$10,0))*2*'Budget &amp; Costs'!G26*0.3/12,0)),"N/A")</f>
        <v/>
      </c>
      <c r="M26" s="641"/>
      <c r="N26" s="647" t="str">
        <f t="shared" si="3"/>
        <v>N/A</v>
      </c>
      <c r="O26" s="279">
        <f t="shared" si="0"/>
        <v>0</v>
      </c>
      <c r="P26" s="279">
        <f t="shared" si="1"/>
        <v>0</v>
      </c>
      <c r="Q26" s="157"/>
      <c r="R26" s="157"/>
    </row>
    <row r="27" spans="3:18" x14ac:dyDescent="0.25">
      <c r="C27" s="234"/>
      <c r="D27" s="234"/>
      <c r="E27" s="234"/>
      <c r="F27" s="637"/>
      <c r="G27" s="235"/>
      <c r="H27" s="235"/>
      <c r="I27" s="641"/>
      <c r="J27" s="641"/>
      <c r="K27" s="644" t="str">
        <f t="shared" si="2"/>
        <v/>
      </c>
      <c r="L27" s="644" t="str">
        <f>IFERROR(IF(OR($D27="",$G27=""),"",ROUNDDOWN(INDEX(Data!$M$11:$W$98,MATCH('Project Details'!$C$12,Data!$L$11:$L$98,0),MATCH(VLOOKUP($D27,Data!$Y$11:$Z$16,2),Data!$M$10:$W$10,0))*2*'Budget &amp; Costs'!G27*0.3/12,0)),"N/A")</f>
        <v/>
      </c>
      <c r="M27" s="641"/>
      <c r="N27" s="647" t="str">
        <f t="shared" si="3"/>
        <v>N/A</v>
      </c>
      <c r="O27" s="279">
        <f t="shared" si="0"/>
        <v>0</v>
      </c>
      <c r="P27" s="279">
        <f t="shared" si="1"/>
        <v>0</v>
      </c>
      <c r="Q27" s="157"/>
      <c r="R27" s="157"/>
    </row>
    <row r="28" spans="3:18" x14ac:dyDescent="0.25">
      <c r="C28" s="234"/>
      <c r="D28" s="234"/>
      <c r="E28" s="234"/>
      <c r="F28" s="637"/>
      <c r="G28" s="235"/>
      <c r="H28" s="235"/>
      <c r="I28" s="641"/>
      <c r="J28" s="641"/>
      <c r="K28" s="644" t="str">
        <f t="shared" si="2"/>
        <v/>
      </c>
      <c r="L28" s="644" t="str">
        <f>IFERROR(IF(OR($D28="",$G28=""),"",ROUNDDOWN(INDEX(Data!$M$11:$W$98,MATCH('Project Details'!$C$12,Data!$L$11:$L$98,0),MATCH(VLOOKUP($D28,Data!$Y$11:$Z$16,2),Data!$M$10:$W$10,0))*2*'Budget &amp; Costs'!G28*0.3/12,0)),"N/A")</f>
        <v/>
      </c>
      <c r="M28" s="641"/>
      <c r="N28" s="647" t="str">
        <f t="shared" si="3"/>
        <v>N/A</v>
      </c>
      <c r="O28" s="279">
        <f t="shared" si="0"/>
        <v>0</v>
      </c>
      <c r="P28" s="279">
        <f t="shared" si="1"/>
        <v>0</v>
      </c>
      <c r="Q28" s="157"/>
      <c r="R28" s="157"/>
    </row>
    <row r="29" spans="3:18" x14ac:dyDescent="0.25">
      <c r="C29" s="234"/>
      <c r="D29" s="296"/>
      <c r="E29" s="296"/>
      <c r="F29" s="638"/>
      <c r="G29" s="297"/>
      <c r="H29" s="297"/>
      <c r="I29" s="641"/>
      <c r="J29" s="641"/>
      <c r="K29" s="644" t="str">
        <f t="shared" si="2"/>
        <v/>
      </c>
      <c r="L29" s="644" t="str">
        <f>IFERROR(IF(OR($D29="",$G29=""),"",ROUNDDOWN(INDEX(Data!$M$11:$W$98,MATCH('Project Details'!$C$12,Data!$L$11:$L$98,0),MATCH(VLOOKUP($D29,Data!$Y$11:$Z$16,2),Data!$M$10:$W$10,0))*2*'Budget &amp; Costs'!G29*0.3/12,0)),"N/A")</f>
        <v/>
      </c>
      <c r="M29" s="641"/>
      <c r="N29" s="647" t="str">
        <f t="shared" si="3"/>
        <v>N/A</v>
      </c>
      <c r="O29" s="279">
        <f t="shared" si="0"/>
        <v>0</v>
      </c>
      <c r="P29" s="279">
        <f t="shared" si="1"/>
        <v>0</v>
      </c>
      <c r="Q29" s="157"/>
      <c r="R29" s="157"/>
    </row>
    <row r="30" spans="3:18" x14ac:dyDescent="0.25">
      <c r="C30" s="234"/>
      <c r="D30" s="296"/>
      <c r="E30" s="296"/>
      <c r="F30" s="638"/>
      <c r="G30" s="297"/>
      <c r="H30" s="297"/>
      <c r="I30" s="641"/>
      <c r="J30" s="641"/>
      <c r="K30" s="644" t="str">
        <f t="shared" si="2"/>
        <v/>
      </c>
      <c r="L30" s="644" t="str">
        <f>IFERROR(IF(OR($D30="",$G30=""),"",ROUNDDOWN(INDEX(Data!$M$11:$W$98,MATCH('Project Details'!$C$12,Data!$L$11:$L$98,0),MATCH(VLOOKUP($D30,Data!$Y$11:$Z$16,2),Data!$M$10:$W$10,0))*2*'Budget &amp; Costs'!G30*0.3/12,0)),"N/A")</f>
        <v/>
      </c>
      <c r="M30" s="641"/>
      <c r="N30" s="647" t="str">
        <f t="shared" si="3"/>
        <v>N/A</v>
      </c>
      <c r="O30" s="279">
        <f t="shared" si="0"/>
        <v>0</v>
      </c>
      <c r="P30" s="279">
        <f t="shared" si="1"/>
        <v>0</v>
      </c>
      <c r="Q30" s="157"/>
      <c r="R30" s="157"/>
    </row>
    <row r="31" spans="3:18" x14ac:dyDescent="0.25">
      <c r="C31" s="234"/>
      <c r="D31" s="296"/>
      <c r="E31" s="296"/>
      <c r="F31" s="638"/>
      <c r="G31" s="297"/>
      <c r="H31" s="297"/>
      <c r="I31" s="641"/>
      <c r="J31" s="641"/>
      <c r="K31" s="644" t="str">
        <f t="shared" si="2"/>
        <v/>
      </c>
      <c r="L31" s="644" t="str">
        <f>IFERROR(IF(OR($D31="",$G31=""),"",ROUNDDOWN(INDEX(Data!$M$11:$W$98,MATCH('Project Details'!$C$12,Data!$L$11:$L$98,0),MATCH(VLOOKUP($D31,Data!$Y$11:$Z$16,2),Data!$M$10:$W$10,0))*2*'Budget &amp; Costs'!G31*0.3/12,0)),"N/A")</f>
        <v/>
      </c>
      <c r="M31" s="641"/>
      <c r="N31" s="647" t="str">
        <f t="shared" si="3"/>
        <v>N/A</v>
      </c>
      <c r="O31" s="279">
        <f t="shared" si="0"/>
        <v>0</v>
      </c>
      <c r="P31" s="279">
        <f t="shared" si="1"/>
        <v>0</v>
      </c>
      <c r="Q31" s="157"/>
      <c r="R31" s="157"/>
    </row>
    <row r="32" spans="3:18" x14ac:dyDescent="0.25">
      <c r="C32" s="234"/>
      <c r="D32" s="296"/>
      <c r="E32" s="296"/>
      <c r="F32" s="638"/>
      <c r="G32" s="297"/>
      <c r="H32" s="297"/>
      <c r="I32" s="641"/>
      <c r="J32" s="641"/>
      <c r="K32" s="644" t="str">
        <f t="shared" si="2"/>
        <v/>
      </c>
      <c r="L32" s="644" t="str">
        <f>IFERROR(IF(OR($D32="",$G32=""),"",ROUNDDOWN(INDEX(Data!$M$11:$W$98,MATCH('Project Details'!$C$12,Data!$L$11:$L$98,0),MATCH(VLOOKUP($D32,Data!$Y$11:$Z$16,2),Data!$M$10:$W$10,0))*2*'Budget &amp; Costs'!G32*0.3/12,0)),"N/A")</f>
        <v/>
      </c>
      <c r="M32" s="641"/>
      <c r="N32" s="647" t="str">
        <f t="shared" si="3"/>
        <v>N/A</v>
      </c>
      <c r="O32" s="279">
        <f t="shared" si="0"/>
        <v>0</v>
      </c>
      <c r="P32" s="279">
        <f t="shared" si="1"/>
        <v>0</v>
      </c>
      <c r="Q32" s="157"/>
      <c r="R32" s="157"/>
    </row>
    <row r="33" spans="1:18" x14ac:dyDescent="0.25">
      <c r="C33" s="234"/>
      <c r="D33" s="296"/>
      <c r="E33" s="296"/>
      <c r="F33" s="638"/>
      <c r="G33" s="297"/>
      <c r="H33" s="297"/>
      <c r="I33" s="641"/>
      <c r="J33" s="641"/>
      <c r="K33" s="644" t="str">
        <f t="shared" si="2"/>
        <v/>
      </c>
      <c r="L33" s="644" t="str">
        <f>IFERROR(IF(OR($D33="",$G33=""),"",ROUNDDOWN(INDEX(Data!$M$11:$W$98,MATCH('Project Details'!$C$12,Data!$L$11:$L$98,0),MATCH(VLOOKUP($D33,Data!$Y$11:$Z$16,2),Data!$M$10:$W$10,0))*2*'Budget &amp; Costs'!G33*0.3/12,0)),"N/A")</f>
        <v/>
      </c>
      <c r="M33" s="641"/>
      <c r="N33" s="647" t="str">
        <f t="shared" si="3"/>
        <v>N/A</v>
      </c>
      <c r="O33" s="279">
        <f t="shared" si="0"/>
        <v>0</v>
      </c>
      <c r="P33" s="279">
        <f t="shared" si="1"/>
        <v>0</v>
      </c>
      <c r="Q33" s="157"/>
      <c r="R33" s="157"/>
    </row>
    <row r="34" spans="1:18" x14ac:dyDescent="0.25">
      <c r="C34" s="234"/>
      <c r="D34" s="296"/>
      <c r="E34" s="296"/>
      <c r="F34" s="638"/>
      <c r="G34" s="297"/>
      <c r="H34" s="297"/>
      <c r="I34" s="641"/>
      <c r="J34" s="641"/>
      <c r="K34" s="644" t="str">
        <f t="shared" si="2"/>
        <v/>
      </c>
      <c r="L34" s="644" t="str">
        <f>IFERROR(IF(OR($D34="",$G34=""),"",ROUNDDOWN(INDEX(Data!$M$11:$W$98,MATCH('Project Details'!$C$12,Data!$L$11:$L$98,0),MATCH(VLOOKUP($D34,Data!$Y$11:$Z$16,2),Data!$M$10:$W$10,0))*2*'Budget &amp; Costs'!G34*0.3/12,0)),"N/A")</f>
        <v/>
      </c>
      <c r="M34" s="641"/>
      <c r="N34" s="647" t="str">
        <f t="shared" si="3"/>
        <v>N/A</v>
      </c>
      <c r="O34" s="279">
        <f t="shared" si="0"/>
        <v>0</v>
      </c>
      <c r="P34" s="279">
        <f t="shared" si="1"/>
        <v>0</v>
      </c>
      <c r="Q34" s="157"/>
      <c r="R34" s="157"/>
    </row>
    <row r="35" spans="1:18" x14ac:dyDescent="0.25">
      <c r="B35" s="231" t="s">
        <v>7894</v>
      </c>
      <c r="C35" s="234"/>
      <c r="D35" s="229"/>
      <c r="E35" s="229"/>
      <c r="F35" s="639"/>
      <c r="G35" s="229"/>
      <c r="H35" s="229"/>
      <c r="I35" s="642"/>
      <c r="J35" s="642"/>
      <c r="K35" s="644" t="str">
        <f t="shared" si="2"/>
        <v/>
      </c>
      <c r="L35" s="645"/>
      <c r="M35" s="646"/>
      <c r="N35" s="647" t="str">
        <f t="shared" si="3"/>
        <v>N/A</v>
      </c>
      <c r="O35" s="279">
        <f t="shared" si="0"/>
        <v>0</v>
      </c>
      <c r="P35" s="279">
        <f t="shared" si="1"/>
        <v>0</v>
      </c>
    </row>
    <row r="36" spans="1:18" x14ac:dyDescent="0.25">
      <c r="B36" s="231" t="s">
        <v>7894</v>
      </c>
      <c r="C36" s="234"/>
      <c r="D36" s="229"/>
      <c r="E36" s="229"/>
      <c r="F36" s="639"/>
      <c r="G36" s="229"/>
      <c r="H36" s="229"/>
      <c r="I36" s="642"/>
      <c r="J36" s="642"/>
      <c r="K36" s="644" t="str">
        <f t="shared" si="2"/>
        <v/>
      </c>
      <c r="L36" s="645"/>
      <c r="M36" s="646"/>
      <c r="N36" s="647" t="str">
        <f t="shared" si="3"/>
        <v>N/A</v>
      </c>
      <c r="O36" s="279">
        <f t="shared" si="0"/>
        <v>0</v>
      </c>
      <c r="P36" s="279">
        <f t="shared" si="1"/>
        <v>0</v>
      </c>
    </row>
    <row r="37" spans="1:18" x14ac:dyDescent="0.25">
      <c r="B37" s="231" t="s">
        <v>7894</v>
      </c>
      <c r="C37" s="234"/>
      <c r="D37" s="229"/>
      <c r="E37" s="229"/>
      <c r="F37" s="639"/>
      <c r="G37" s="229"/>
      <c r="H37" s="229"/>
      <c r="I37" s="642"/>
      <c r="J37" s="642"/>
      <c r="K37" s="644" t="str">
        <f t="shared" si="2"/>
        <v/>
      </c>
      <c r="L37" s="645"/>
      <c r="M37" s="646"/>
      <c r="N37" s="647" t="str">
        <f t="shared" si="3"/>
        <v>N/A</v>
      </c>
      <c r="O37" s="279">
        <f t="shared" si="0"/>
        <v>0</v>
      </c>
      <c r="P37" s="279">
        <f t="shared" si="1"/>
        <v>0</v>
      </c>
    </row>
    <row r="38" spans="1:18" x14ac:dyDescent="0.25">
      <c r="B38" s="231" t="s">
        <v>7894</v>
      </c>
      <c r="C38" s="234"/>
      <c r="D38" s="229"/>
      <c r="E38" s="229"/>
      <c r="F38" s="639"/>
      <c r="G38" s="229"/>
      <c r="H38" s="229"/>
      <c r="I38" s="642"/>
      <c r="J38" s="642"/>
      <c r="K38" s="644" t="str">
        <f t="shared" si="2"/>
        <v/>
      </c>
      <c r="L38" s="645"/>
      <c r="M38" s="646"/>
      <c r="N38" s="647" t="str">
        <f t="shared" si="3"/>
        <v>N/A</v>
      </c>
      <c r="O38" s="279">
        <f t="shared" si="0"/>
        <v>0</v>
      </c>
      <c r="P38" s="279">
        <f t="shared" si="1"/>
        <v>0</v>
      </c>
    </row>
    <row r="39" spans="1:18" x14ac:dyDescent="0.25">
      <c r="B39" s="231" t="s">
        <v>7894</v>
      </c>
      <c r="C39" s="234"/>
      <c r="D39" s="229"/>
      <c r="E39" s="229"/>
      <c r="F39" s="639"/>
      <c r="G39" s="229"/>
      <c r="H39" s="229"/>
      <c r="I39" s="642"/>
      <c r="J39" s="642"/>
      <c r="K39" s="644" t="str">
        <f t="shared" si="2"/>
        <v/>
      </c>
      <c r="L39" s="645"/>
      <c r="M39" s="646"/>
      <c r="N39" s="647" t="str">
        <f t="shared" si="3"/>
        <v>N/A</v>
      </c>
      <c r="O39" s="279">
        <f t="shared" si="0"/>
        <v>0</v>
      </c>
      <c r="P39" s="279">
        <f t="shared" si="1"/>
        <v>0</v>
      </c>
    </row>
    <row r="40" spans="1:18" x14ac:dyDescent="0.25">
      <c r="B40" s="231" t="s">
        <v>7894</v>
      </c>
      <c r="C40" s="234"/>
      <c r="D40" s="229"/>
      <c r="E40" s="229"/>
      <c r="F40" s="639"/>
      <c r="G40" s="229"/>
      <c r="H40" s="229"/>
      <c r="I40" s="642"/>
      <c r="J40" s="642"/>
      <c r="K40" s="644" t="str">
        <f t="shared" si="2"/>
        <v/>
      </c>
      <c r="L40" s="645"/>
      <c r="M40" s="646"/>
      <c r="N40" s="647" t="str">
        <f t="shared" si="3"/>
        <v>N/A</v>
      </c>
      <c r="O40" s="279">
        <f t="shared" si="0"/>
        <v>0</v>
      </c>
      <c r="P40" s="279">
        <f t="shared" si="1"/>
        <v>0</v>
      </c>
    </row>
    <row r="41" spans="1:18" x14ac:dyDescent="0.25">
      <c r="B41" s="231" t="s">
        <v>7894</v>
      </c>
      <c r="C41" s="234"/>
      <c r="D41" s="229"/>
      <c r="E41" s="229"/>
      <c r="F41" s="639"/>
      <c r="G41" s="229"/>
      <c r="H41" s="229"/>
      <c r="I41" s="642"/>
      <c r="J41" s="642"/>
      <c r="K41" s="644" t="str">
        <f t="shared" si="2"/>
        <v/>
      </c>
      <c r="L41" s="645"/>
      <c r="M41" s="646"/>
      <c r="N41" s="647" t="str">
        <f t="shared" si="3"/>
        <v>N/A</v>
      </c>
      <c r="O41" s="279">
        <f t="shared" si="0"/>
        <v>0</v>
      </c>
      <c r="P41" s="279">
        <f t="shared" si="1"/>
        <v>0</v>
      </c>
    </row>
    <row r="42" spans="1:18" x14ac:dyDescent="0.25">
      <c r="B42" s="231" t="s">
        <v>7894</v>
      </c>
      <c r="C42" s="234"/>
      <c r="D42" s="229"/>
      <c r="E42" s="229"/>
      <c r="F42" s="639"/>
      <c r="G42" s="229"/>
      <c r="H42" s="229"/>
      <c r="I42" s="642"/>
      <c r="J42" s="642"/>
      <c r="K42" s="644" t="str">
        <f t="shared" si="2"/>
        <v/>
      </c>
      <c r="L42" s="645"/>
      <c r="M42" s="646"/>
      <c r="N42" s="647" t="str">
        <f t="shared" si="3"/>
        <v>N/A</v>
      </c>
      <c r="O42" s="279">
        <f t="shared" si="0"/>
        <v>0</v>
      </c>
      <c r="P42" s="279">
        <f t="shared" si="1"/>
        <v>0</v>
      </c>
    </row>
    <row r="43" spans="1:18" x14ac:dyDescent="0.25">
      <c r="B43" s="231" t="s">
        <v>7894</v>
      </c>
      <c r="C43" s="234"/>
      <c r="D43" s="229"/>
      <c r="E43" s="229"/>
      <c r="F43" s="639"/>
      <c r="G43" s="229"/>
      <c r="H43" s="229"/>
      <c r="I43" s="642"/>
      <c r="J43" s="642"/>
      <c r="K43" s="644" t="str">
        <f t="shared" si="2"/>
        <v/>
      </c>
      <c r="L43" s="645"/>
      <c r="M43" s="646"/>
      <c r="N43" s="647" t="str">
        <f t="shared" si="3"/>
        <v>N/A</v>
      </c>
      <c r="O43" s="279">
        <f t="shared" si="0"/>
        <v>0</v>
      </c>
      <c r="P43" s="279">
        <f t="shared" si="1"/>
        <v>0</v>
      </c>
    </row>
    <row r="44" spans="1:18" x14ac:dyDescent="0.25">
      <c r="B44" s="236" t="s">
        <v>1213</v>
      </c>
      <c r="C44" s="234"/>
      <c r="D44" s="230"/>
      <c r="E44" s="230"/>
      <c r="F44" s="640"/>
      <c r="G44" s="230"/>
      <c r="H44" s="230"/>
      <c r="I44" s="643"/>
      <c r="J44" s="643"/>
      <c r="K44" s="644" t="str">
        <f t="shared" si="2"/>
        <v/>
      </c>
      <c r="L44" s="645"/>
      <c r="M44" s="646"/>
      <c r="N44" s="647" t="str">
        <f t="shared" si="3"/>
        <v>N/A</v>
      </c>
      <c r="O44" s="279">
        <f t="shared" si="0"/>
        <v>0</v>
      </c>
      <c r="P44" s="279">
        <f t="shared" si="1"/>
        <v>0</v>
      </c>
    </row>
    <row r="45" spans="1:18" x14ac:dyDescent="0.25">
      <c r="C45" s="31">
        <f>SUM(C9:C44)</f>
        <v>0</v>
      </c>
      <c r="D45" s="11" t="s">
        <v>231</v>
      </c>
      <c r="E45" s="238">
        <f>SUM(E9:E44)</f>
        <v>0</v>
      </c>
      <c r="F45" s="32"/>
      <c r="G45" s="32"/>
      <c r="H45" s="32"/>
      <c r="I45" s="280"/>
      <c r="J45" s="280"/>
      <c r="K45" s="32"/>
      <c r="L45" s="32"/>
      <c r="M45" s="32"/>
      <c r="N45" s="32"/>
      <c r="O45" s="281"/>
      <c r="P45" s="282">
        <f>SUM(P9:P44)</f>
        <v>0</v>
      </c>
      <c r="Q45" s="157"/>
      <c r="R45" s="157"/>
    </row>
    <row r="47" spans="1:18" s="143" customFormat="1" ht="24.9" customHeight="1" x14ac:dyDescent="0.25">
      <c r="A47" s="464" t="s">
        <v>1036</v>
      </c>
      <c r="B47" s="134"/>
      <c r="C47" s="134"/>
      <c r="D47" s="134"/>
      <c r="E47" s="134"/>
      <c r="F47" s="471"/>
      <c r="G47" s="471"/>
      <c r="H47" s="471"/>
      <c r="I47" s="471"/>
      <c r="J47" s="471"/>
      <c r="K47" s="471"/>
      <c r="L47" s="134"/>
      <c r="M47" s="134"/>
      <c r="N47" s="134"/>
      <c r="O47" s="134"/>
      <c r="P47" s="134"/>
      <c r="Q47" s="134"/>
      <c r="R47" s="134"/>
    </row>
    <row r="48" spans="1:18" ht="14.25" customHeight="1" x14ac:dyDescent="0.3">
      <c r="A48" s="80"/>
      <c r="D48" s="5" t="s">
        <v>1391</v>
      </c>
      <c r="E48" s="5" t="s">
        <v>1393</v>
      </c>
      <c r="F48" s="19" t="s">
        <v>1394</v>
      </c>
      <c r="G48" s="19"/>
      <c r="H48" s="19"/>
      <c r="I48" s="19"/>
      <c r="J48" s="19"/>
      <c r="K48" s="19"/>
    </row>
    <row r="49" spans="1:17" ht="14.25" customHeight="1" x14ac:dyDescent="0.3">
      <c r="A49" s="80"/>
      <c r="C49" t="s">
        <v>1392</v>
      </c>
      <c r="D49" s="277">
        <f>C45</f>
        <v>0</v>
      </c>
      <c r="E49" s="451">
        <f>IFERROR(C45/C45,0)</f>
        <v>0</v>
      </c>
      <c r="F49" s="478"/>
      <c r="G49" s="19"/>
      <c r="H49" s="5" t="s">
        <v>1408</v>
      </c>
      <c r="I49" s="818">
        <f>LIHTCs!C69</f>
        <v>0</v>
      </c>
      <c r="J49" s="819"/>
      <c r="K49"/>
      <c r="L49" s="88" t="s">
        <v>7899</v>
      </c>
    </row>
    <row r="50" spans="1:17" ht="14.25" customHeight="1" x14ac:dyDescent="0.3">
      <c r="A50" s="80"/>
      <c r="C50" s="5" t="s">
        <v>7897</v>
      </c>
      <c r="D50" s="277">
        <f>SUM(C9:C34)</f>
        <v>0</v>
      </c>
      <c r="E50" s="451">
        <f>IFERROR(D50/D49,0)</f>
        <v>0</v>
      </c>
      <c r="F50" s="478"/>
      <c r="G50" s="19"/>
      <c r="H50" s="5" t="s">
        <v>1159</v>
      </c>
      <c r="I50" s="225" t="str">
        <f>IFERROR(IF(SUM(E66+E67+E68+E69+E70)&gt;=0.4,"Yes","No"),0)</f>
        <v>No</v>
      </c>
      <c r="J50" s="19"/>
      <c r="K50" s="19"/>
      <c r="L50" s="808"/>
      <c r="M50" s="809"/>
      <c r="N50" s="810"/>
      <c r="O50" s="810"/>
      <c r="P50" s="809"/>
      <c r="Q50" s="811"/>
    </row>
    <row r="51" spans="1:17" ht="14.25" customHeight="1" x14ac:dyDescent="0.3">
      <c r="A51" s="80"/>
      <c r="C51" s="5" t="s">
        <v>1533</v>
      </c>
      <c r="D51" s="277">
        <f>C44</f>
        <v>0</v>
      </c>
      <c r="E51" s="451">
        <f>IFERROR(D51/D49,0)</f>
        <v>0</v>
      </c>
      <c r="F51" s="506"/>
      <c r="G51" s="19"/>
      <c r="H51" s="5" t="s">
        <v>1160</v>
      </c>
      <c r="I51" s="225" t="str">
        <f>IFERROR(IF(SUM(E67+E68+E69+E70)&gt;=0.2,"Yes","No"),0)</f>
        <v>No</v>
      </c>
      <c r="J51" s="19"/>
      <c r="K51" s="19"/>
      <c r="L51" s="812"/>
      <c r="M51" s="813"/>
      <c r="N51" s="813"/>
      <c r="O51" s="813"/>
      <c r="P51" s="813"/>
      <c r="Q51" s="814"/>
    </row>
    <row r="52" spans="1:17" ht="14.25" customHeight="1" x14ac:dyDescent="0.3">
      <c r="A52" s="80"/>
      <c r="C52" s="5" t="s">
        <v>1111</v>
      </c>
      <c r="D52" s="277">
        <f>SUM(C35:C43)</f>
        <v>0</v>
      </c>
      <c r="E52" s="451">
        <f>IFERROR(D52/D49,0)</f>
        <v>0</v>
      </c>
      <c r="F52" s="478"/>
      <c r="G52" s="19"/>
      <c r="H52" s="5" t="s">
        <v>1161</v>
      </c>
      <c r="I52" s="453" t="str">
        <f>IFERROR(IF(I53&lt;=0.6,"Yes","No"),0)</f>
        <v>Yes</v>
      </c>
      <c r="J52" s="19"/>
      <c r="K52" s="19"/>
      <c r="L52" s="812"/>
      <c r="M52" s="813"/>
      <c r="N52" s="813"/>
      <c r="O52" s="813"/>
      <c r="P52" s="813"/>
      <c r="Q52" s="814"/>
    </row>
    <row r="53" spans="1:17" ht="14.25" customHeight="1" x14ac:dyDescent="0.3">
      <c r="A53" s="80"/>
      <c r="C53" s="5" t="s">
        <v>1428</v>
      </c>
      <c r="D53" s="277">
        <f>SUMIF(M9:M34,"&gt;0",C9:C34)</f>
        <v>0</v>
      </c>
      <c r="E53" s="451">
        <f>IFERROR(D53/D49,0)</f>
        <v>0</v>
      </c>
      <c r="F53" s="477">
        <f>IFERROR(D53/D50,0)</f>
        <v>0</v>
      </c>
      <c r="G53" s="19"/>
      <c r="H53" s="455" t="s">
        <v>1141</v>
      </c>
      <c r="I53" s="454">
        <f>IFERROR(((D79*0.2)+(D78*0.3)+(D77*0.4)+(D76*0.5)+(D75*0.6)+(D74*0.7)+(D73*0.8))/D50,0)</f>
        <v>0</v>
      </c>
      <c r="J53" s="19"/>
      <c r="K53" s="19"/>
      <c r="L53" s="812"/>
      <c r="M53" s="813"/>
      <c r="N53" s="813"/>
      <c r="O53" s="813"/>
      <c r="P53" s="813"/>
      <c r="Q53" s="814"/>
    </row>
    <row r="54" spans="1:17" ht="14.25" customHeight="1" x14ac:dyDescent="0.3">
      <c r="A54" s="80"/>
      <c r="F54" s="452"/>
      <c r="G54" s="19"/>
      <c r="H54" s="491"/>
      <c r="I54" s="507"/>
      <c r="J54" s="19"/>
      <c r="K54" s="19"/>
      <c r="L54" s="812"/>
      <c r="M54" s="813"/>
      <c r="N54" s="813"/>
      <c r="O54" s="813"/>
      <c r="P54" s="813"/>
      <c r="Q54" s="814"/>
    </row>
    <row r="55" spans="1:17" ht="14.25" customHeight="1" x14ac:dyDescent="0.3">
      <c r="A55" s="80"/>
      <c r="C55" s="512" t="s">
        <v>1398</v>
      </c>
      <c r="D55" s="449">
        <f>SUMIFS(C9:C43,D9:D43,"&lt;=1")</f>
        <v>0</v>
      </c>
      <c r="E55" s="387">
        <f>IFERROR(D55/(D49-D51),0)</f>
        <v>0</v>
      </c>
      <c r="F55" s="387">
        <f>IFERROR(D55/D50,0)</f>
        <v>0</v>
      </c>
      <c r="G55" s="19"/>
      <c r="H55" s="138"/>
      <c r="I55" s="138"/>
      <c r="J55" s="138"/>
      <c r="K55" s="138"/>
      <c r="L55" s="812"/>
      <c r="M55" s="813"/>
      <c r="N55" s="813"/>
      <c r="O55" s="813"/>
      <c r="P55" s="813"/>
      <c r="Q55" s="814"/>
    </row>
    <row r="56" spans="1:17" x14ac:dyDescent="0.25">
      <c r="C56" s="293" t="s">
        <v>1397</v>
      </c>
      <c r="D56" s="277">
        <f>SUMIFS(C9:C34,G9:G34,"&lt;=.8",D9:D34,"&lt;=1")</f>
        <v>0</v>
      </c>
      <c r="E56" s="387">
        <f>IFERROR(D56/(D49-D51),0)</f>
        <v>0</v>
      </c>
      <c r="F56" s="387">
        <f>IFERROR(D56/D50,0)</f>
        <v>0</v>
      </c>
      <c r="H56" s="138"/>
      <c r="I56" s="138"/>
      <c r="L56" s="812"/>
      <c r="M56" s="813"/>
      <c r="N56" s="813"/>
      <c r="O56" s="813"/>
      <c r="P56" s="813"/>
      <c r="Q56" s="814"/>
    </row>
    <row r="57" spans="1:17" x14ac:dyDescent="0.25">
      <c r="C57" s="293" t="s">
        <v>1399</v>
      </c>
      <c r="D57" s="449">
        <f>SUMIFS(C9:C43,D9:D43,"=2")</f>
        <v>0</v>
      </c>
      <c r="E57" s="387">
        <f>IFERROR(D57/(D49-D51),0)</f>
        <v>0</v>
      </c>
      <c r="F57" s="387">
        <f>IFERROR(D57/D50,0)</f>
        <v>0</v>
      </c>
      <c r="L57" s="812"/>
      <c r="M57" s="813"/>
      <c r="N57" s="813"/>
      <c r="O57" s="813"/>
      <c r="P57" s="813"/>
      <c r="Q57" s="814"/>
    </row>
    <row r="58" spans="1:17" x14ac:dyDescent="0.25">
      <c r="C58" s="293" t="s">
        <v>1400</v>
      </c>
      <c r="D58" s="277">
        <f>SUMIFS(C9:C34,G9:G34,"&lt;=.8",D9:D34,"=2")</f>
        <v>0</v>
      </c>
      <c r="E58" s="387">
        <f>IFERROR(D58/(D49-D51),0)</f>
        <v>0</v>
      </c>
      <c r="F58" s="387">
        <f>IFERROR(D58/D50,0)</f>
        <v>0</v>
      </c>
      <c r="H58" s="97" t="s">
        <v>1158</v>
      </c>
      <c r="I58" s="227">
        <f>SUM(D69+D70)</f>
        <v>0</v>
      </c>
      <c r="L58" s="815"/>
      <c r="M58" s="816"/>
      <c r="N58" s="816"/>
      <c r="O58" s="816"/>
      <c r="P58" s="816"/>
      <c r="Q58" s="817"/>
    </row>
    <row r="59" spans="1:17" x14ac:dyDescent="0.25">
      <c r="C59" s="293" t="s">
        <v>1395</v>
      </c>
      <c r="D59" s="449">
        <f>SUMIFS(C9:C43,D9:D43,"&gt;=3")</f>
        <v>0</v>
      </c>
      <c r="E59" s="387">
        <f>IFERROR(D59/(D49-D51),0)</f>
        <v>0</v>
      </c>
      <c r="F59" s="387">
        <f>IFERROR(D59/D50,0)</f>
        <v>0</v>
      </c>
      <c r="H59" s="226" t="s">
        <v>7898</v>
      </c>
      <c r="I59" s="159">
        <f>IFERROR(I58/D50,0)</f>
        <v>0</v>
      </c>
      <c r="J59" s="138"/>
      <c r="K59" s="138"/>
    </row>
    <row r="60" spans="1:17" x14ac:dyDescent="0.25">
      <c r="C60" s="293" t="s">
        <v>1396</v>
      </c>
      <c r="D60" s="277">
        <f>SUMIFS(C9:C34,G9:G34,"&lt;=.8",D9:D34,"&gt;=3")</f>
        <v>0</v>
      </c>
      <c r="E60" s="387">
        <f>IFERROR(D60/(D49-D51),0)</f>
        <v>0</v>
      </c>
      <c r="F60" s="387">
        <f>IFERROR(D60/D50,0)</f>
        <v>0</v>
      </c>
      <c r="H60" s="226" t="s">
        <v>1540</v>
      </c>
      <c r="I60" s="159">
        <f>IFERROR(I58/(D49-D51),0)</f>
        <v>0</v>
      </c>
      <c r="J60" s="138"/>
      <c r="K60" s="138"/>
    </row>
    <row r="61" spans="1:17" x14ac:dyDescent="0.25">
      <c r="C61" s="293" t="s">
        <v>1539</v>
      </c>
      <c r="D61" s="450">
        <f>SUMIFS(C9:C34,G9:G34,"&lt;=.6",D9:D34,"&gt;=3")</f>
        <v>0</v>
      </c>
      <c r="E61" s="387">
        <f>IFERROR(D61/(D49-D51),0)</f>
        <v>0</v>
      </c>
      <c r="F61" s="493">
        <f>IFERROR(SUMIFS(C9:C34,G9:G34,"&lt;=.6",D9:D34,"&gt;=3")/D50,0)</f>
        <v>0</v>
      </c>
      <c r="H61" s="138"/>
      <c r="I61" s="138"/>
      <c r="J61" s="138"/>
      <c r="K61" s="138"/>
    </row>
    <row r="62" spans="1:17" ht="14.4" x14ac:dyDescent="0.3">
      <c r="C62" s="18"/>
      <c r="F62" s="383"/>
      <c r="H62" s="138"/>
      <c r="I62" s="138"/>
      <c r="J62" s="138"/>
      <c r="K62" s="138"/>
    </row>
    <row r="63" spans="1:17" ht="14.4" x14ac:dyDescent="0.3">
      <c r="C63" s="383" t="s">
        <v>7895</v>
      </c>
      <c r="F63" s="383"/>
      <c r="H63" s="138"/>
      <c r="I63" s="138"/>
      <c r="J63" s="138"/>
      <c r="K63" s="138"/>
    </row>
    <row r="64" spans="1:17" x14ac:dyDescent="0.25">
      <c r="C64" s="293" t="s">
        <v>1406</v>
      </c>
      <c r="D64" s="384">
        <f>SUMIF(G9:G34,"&lt;=.8",C9:C34)-D65-D66-D67-D68-D69-D70</f>
        <v>0</v>
      </c>
      <c r="E64" s="387">
        <f>IFERROR(D64/(D49-D51),0)</f>
        <v>0</v>
      </c>
      <c r="F64" s="387">
        <f>IFERROR(D64/D50,0)</f>
        <v>0</v>
      </c>
      <c r="G64" s="513" t="str">
        <f>IF(AND(LIHTCs!C69&lt;&gt;"Average Income",COUNTIF(G9:G34,"=0.8")&gt;=1),"Selected minimum set-aside does not permit units above 60%","")</f>
        <v/>
      </c>
      <c r="L64" s="10" t="s">
        <v>1611</v>
      </c>
      <c r="M64" s="15" t="s">
        <v>234</v>
      </c>
      <c r="N64" s="15" t="s">
        <v>189</v>
      </c>
      <c r="O64" s="15" t="s">
        <v>190</v>
      </c>
      <c r="P64" s="15" t="s">
        <v>191</v>
      </c>
      <c r="Q64" s="15" t="s">
        <v>192</v>
      </c>
    </row>
    <row r="65" spans="3:18" x14ac:dyDescent="0.25">
      <c r="C65" s="293" t="s">
        <v>1405</v>
      </c>
      <c r="D65" s="384">
        <f>SUMIF(G9:G34,"&lt;=.7",C9:C34)-D66-D67-D68-D69-D70</f>
        <v>0</v>
      </c>
      <c r="E65" s="387">
        <f>IFERROR(D65/(D49-D51),0)</f>
        <v>0</v>
      </c>
      <c r="F65" s="387">
        <f>IFERROR(D65/D50,0)</f>
        <v>0</v>
      </c>
      <c r="G65" s="513" t="str">
        <f>IF(AND(LIHTCs!C69&lt;&gt;"Average Income",COUNTIF(G9:G34,"=0.7")&gt;=1),"Selected minimum set-aside does not permit units above 60%","")</f>
        <v/>
      </c>
      <c r="L65" s="135" t="s">
        <v>1534</v>
      </c>
      <c r="M65" s="16">
        <f>SUMIFS('Budget &amp; Costs'!C9:C34,'Budget &amp; Costs'!D9:D34,0,'Budget &amp; Costs'!G9:G34,0.2)</f>
        <v>0</v>
      </c>
      <c r="N65" s="16">
        <f>SUMIFS('Budget &amp; Costs'!C9:C34,'Budget &amp; Costs'!D9:D34,1,'Budget &amp; Costs'!G9:G34,0.2)</f>
        <v>0</v>
      </c>
      <c r="O65" s="16">
        <f>SUMIFS('Budget &amp; Costs'!C9:C34,'Budget &amp; Costs'!D9:D34,2,'Budget &amp; Costs'!G9:G34,0.2)</f>
        <v>0</v>
      </c>
      <c r="P65" s="16">
        <f>SUMIFS('Budget &amp; Costs'!C9:C34,'Budget &amp; Costs'!D9:D34,3,'Budget &amp; Costs'!G9:G34,0.2)</f>
        <v>0</v>
      </c>
      <c r="Q65" s="16">
        <f>SUMIFS('Budget &amp; Costs'!C9:C34,'Budget &amp; Costs'!D9:D34,"&gt;3",'Budget &amp; Costs'!G9:G34,0.2)</f>
        <v>0</v>
      </c>
    </row>
    <row r="66" spans="3:18" x14ac:dyDescent="0.25">
      <c r="C66" s="293" t="s">
        <v>1404</v>
      </c>
      <c r="D66" s="384">
        <f>SUMIF(G9:G34,"&lt;=.6",C9:C34)-D67-D68-D69-D70</f>
        <v>0</v>
      </c>
      <c r="E66" s="387">
        <f>IFERROR(D66/(D49-D51),0)</f>
        <v>0</v>
      </c>
      <c r="F66" s="387">
        <f>IFERROR(D66/D50,0)</f>
        <v>0</v>
      </c>
      <c r="L66" s="135" t="s">
        <v>223</v>
      </c>
      <c r="M66" s="16">
        <f>SUMIFS('Budget &amp; Costs'!C9:C34,'Budget &amp; Costs'!D9:D34,0,'Budget &amp; Costs'!G9:G34,0.3)</f>
        <v>0</v>
      </c>
      <c r="N66" s="16">
        <f>SUMIFS('Budget &amp; Costs'!C9:C34,'Budget &amp; Costs'!D9:D34,1,'Budget &amp; Costs'!G9:G34,0.3)</f>
        <v>0</v>
      </c>
      <c r="O66" s="16">
        <f>SUMIFS('Budget &amp; Costs'!C9:C34,'Budget &amp; Costs'!D9:D34,2,'Budget &amp; Costs'!G9:G34,0.3)</f>
        <v>0</v>
      </c>
      <c r="P66" s="16">
        <f>SUMIFS('Budget &amp; Costs'!C9:C34,'Budget &amp; Costs'!D9:D34,3,'Budget &amp; Costs'!G9:G34,0.3)</f>
        <v>0</v>
      </c>
      <c r="Q66" s="16">
        <f>SUMIFS('Budget &amp; Costs'!C9:C34,'Budget &amp; Costs'!D9:D34,"&gt;3",'Budget &amp; Costs'!G9:G34,0.3)</f>
        <v>0</v>
      </c>
    </row>
    <row r="67" spans="3:18" x14ac:dyDescent="0.25">
      <c r="C67" s="293" t="s">
        <v>1403</v>
      </c>
      <c r="D67" s="384">
        <f>SUMIF(G9:G34,"&lt;=.5",C9:C34)-D68-D69-D70</f>
        <v>0</v>
      </c>
      <c r="E67" s="387">
        <f>IFERROR(D67/(D49-D51),0)</f>
        <v>0</v>
      </c>
      <c r="F67" s="387">
        <f>IFERROR(D67/D50,0)</f>
        <v>0</v>
      </c>
      <c r="G67" s="138"/>
      <c r="L67" s="135" t="s">
        <v>224</v>
      </c>
      <c r="M67" s="16">
        <f>SUMIFS('Budget &amp; Costs'!C9:C34,'Budget &amp; Costs'!D9:D34,0,'Budget &amp; Costs'!G9:G34,0.35)</f>
        <v>0</v>
      </c>
      <c r="N67" s="16">
        <f>SUMIFS('Budget &amp; Costs'!C9:C34,'Budget &amp; Costs'!D9:D34,1,'Budget &amp; Costs'!G9:G34,0.35)</f>
        <v>0</v>
      </c>
      <c r="O67" s="16">
        <f>SUMIFS('Budget &amp; Costs'!C9:C34,'Budget &amp; Costs'!D9:D34,2,'Budget &amp; Costs'!G9:G34,0.35)</f>
        <v>0</v>
      </c>
      <c r="P67" s="16">
        <f>SUMIFS('Budget &amp; Costs'!C9:C34,'Budget &amp; Costs'!D9:D34,3,'Budget &amp; Costs'!G9:G34,0.35)</f>
        <v>0</v>
      </c>
      <c r="Q67" s="16">
        <f>SUMIFS('Budget &amp; Costs'!C9:C34,'Budget &amp; Costs'!D9:D34,"&gt;3",'Budget &amp; Costs'!G9:G34,0.35)</f>
        <v>0</v>
      </c>
    </row>
    <row r="68" spans="3:18" ht="14.25" customHeight="1" x14ac:dyDescent="0.25">
      <c r="C68" s="293" t="s">
        <v>1402</v>
      </c>
      <c r="D68" s="384">
        <f>SUMIF(G9:G34,"&lt;=.4",C9:C34)-D69-D70</f>
        <v>0</v>
      </c>
      <c r="E68" s="387">
        <f>IFERROR(D68/(D49-D51),0)</f>
        <v>0</v>
      </c>
      <c r="F68" s="387">
        <f>IFERROR(D68/D50,0)</f>
        <v>0</v>
      </c>
      <c r="G68" s="138"/>
      <c r="L68" s="135" t="s">
        <v>1535</v>
      </c>
      <c r="M68" s="16">
        <f>SUMIFS('Budget &amp; Costs'!C9:C34,'Budget &amp; Costs'!D9:D34,0,'Budget &amp; Costs'!G9:G34,0.4)</f>
        <v>0</v>
      </c>
      <c r="N68" s="16">
        <f>SUMIFS('Budget &amp; Costs'!C9:C34,'Budget &amp; Costs'!D9:D34,1,'Budget &amp; Costs'!G9:G34,0.4)</f>
        <v>0</v>
      </c>
      <c r="O68" s="16">
        <f>SUMIFS('Budget &amp; Costs'!C9:C34,'Budget &amp; Costs'!D9:D34,2,'Budget &amp; Costs'!G9:G34,0.4)</f>
        <v>0</v>
      </c>
      <c r="P68" s="16">
        <f>SUMIFS('Budget &amp; Costs'!C9:C34,'Budget &amp; Costs'!D9:D34,3,'Budget &amp; Costs'!G9:G34,0.4)</f>
        <v>0</v>
      </c>
      <c r="Q68" s="16">
        <f>SUMIFS('Budget &amp; Costs'!C9:C34,'Budget &amp; Costs'!D9:D34,"&gt;3",'Budget &amp; Costs'!G9:G34,0.4)</f>
        <v>0</v>
      </c>
    </row>
    <row r="69" spans="3:18" ht="14.25" customHeight="1" x14ac:dyDescent="0.25">
      <c r="C69" s="293" t="s">
        <v>1401</v>
      </c>
      <c r="D69" s="384">
        <f>SUMIF(G9:G34,"&lt;=.3",C9:C34)-D70</f>
        <v>0</v>
      </c>
      <c r="E69" s="387">
        <f>IFERROR(D69/(D49-D51),0)</f>
        <v>0</v>
      </c>
      <c r="F69" s="387">
        <f>IFERROR(D69/D50,0)</f>
        <v>0</v>
      </c>
      <c r="G69" s="138"/>
      <c r="L69" s="135" t="s">
        <v>225</v>
      </c>
      <c r="M69" s="16">
        <f>SUMIFS('Budget &amp; Costs'!C9:C34,'Budget &amp; Costs'!D9:D34,0,'Budget &amp; Costs'!G9:G34,0.5)</f>
        <v>0</v>
      </c>
      <c r="N69" s="16">
        <f>SUMIFS('Budget &amp; Costs'!C9:C34,'Budget &amp; Costs'!D9:D34,1,'Budget &amp; Costs'!G9:G34,0.5)</f>
        <v>0</v>
      </c>
      <c r="O69" s="16">
        <f>SUMIFS('Budget &amp; Costs'!C9:C34,'Budget &amp; Costs'!D9:D34,2,'Budget &amp; Costs'!G9:G34,0.5)</f>
        <v>0</v>
      </c>
      <c r="P69" s="16">
        <f>SUMIFS('Budget &amp; Costs'!C9:C34,'Budget &amp; Costs'!D9:D34,3,'Budget &amp; Costs'!G9:G34,0.5)</f>
        <v>0</v>
      </c>
      <c r="Q69" s="16">
        <f>SUMIFS('Budget &amp; Costs'!C9:C34,'Budget &amp; Costs'!D9:D34,"&gt;3",'Budget &amp; Costs'!G9:G34,0.5)</f>
        <v>0</v>
      </c>
    </row>
    <row r="70" spans="3:18" ht="14.25" customHeight="1" x14ac:dyDescent="0.25">
      <c r="C70" s="293" t="s">
        <v>1407</v>
      </c>
      <c r="D70" s="384">
        <f>SUMIF(G9:G34,"&lt;=.2",C9:C34)</f>
        <v>0</v>
      </c>
      <c r="E70" s="387">
        <f>IFERROR(D70/(D49-D51),0)</f>
        <v>0</v>
      </c>
      <c r="F70" s="387">
        <f>IFERROR(D70/D50,0)</f>
        <v>0</v>
      </c>
      <c r="L70" s="135" t="s">
        <v>226</v>
      </c>
      <c r="M70" s="16">
        <f>SUMIFS('Budget &amp; Costs'!C9:C34,'Budget &amp; Costs'!D9:D34,0,'Budget &amp; Costs'!G9:G34,0.6)</f>
        <v>0</v>
      </c>
      <c r="N70" s="16">
        <f>SUMIFS('Budget &amp; Costs'!C9:C34,'Budget &amp; Costs'!D9:D34,1,'Budget &amp; Costs'!G9:G34,0.6)</f>
        <v>0</v>
      </c>
      <c r="O70" s="16">
        <f>SUMIFS('Budget &amp; Costs'!C9:C34,'Budget &amp; Costs'!D9:D34,2,'Budget &amp; Costs'!G9:G34,0.6)</f>
        <v>0</v>
      </c>
      <c r="P70" s="16">
        <f>SUMIFS('Budget &amp; Costs'!C9:C34,'Budget &amp; Costs'!D9:D34,3,'Budget &amp; Costs'!G9:G34,0.6)</f>
        <v>0</v>
      </c>
      <c r="Q70" s="16">
        <f>SUMIFS('Budget &amp; Costs'!C9:C34,'Budget &amp; Costs'!D9:D34,"&gt;3",'Budget &amp; Costs'!G9:G34,0.6)</f>
        <v>0</v>
      </c>
    </row>
    <row r="71" spans="3:18" ht="15" customHeight="1" x14ac:dyDescent="0.25">
      <c r="C71" s="48"/>
      <c r="D71" s="138"/>
      <c r="F71" s="138"/>
      <c r="G71" s="138"/>
      <c r="L71" s="135" t="s">
        <v>1536</v>
      </c>
      <c r="M71" s="16">
        <f>SUMIFS('Budget &amp; Costs'!C9:C34,'Budget &amp; Costs'!D9:D34,0,'Budget &amp; Costs'!G9:G34,0.7)</f>
        <v>0</v>
      </c>
      <c r="N71" s="16">
        <f>SUMIFS('Budget &amp; Costs'!C9:C34,'Budget &amp; Costs'!D9:D34,1,'Budget &amp; Costs'!G9:G34,0.7)</f>
        <v>0</v>
      </c>
      <c r="O71" s="16">
        <f>SUMIFS('Budget &amp; Costs'!C9:C34,'Budget &amp; Costs'!D9:D34,2,'Budget &amp; Costs'!G9:G34,0.7)</f>
        <v>0</v>
      </c>
      <c r="P71" s="16">
        <f>SUMIFS('Budget &amp; Costs'!C9:C34,'Budget &amp; Costs'!D9:D34,3,'Budget &amp; Costs'!G9:G34,0.7)</f>
        <v>0</v>
      </c>
      <c r="Q71" s="16">
        <f>SUMIFS('Budget &amp; Costs'!C9:C34,'Budget &amp; Costs'!D9:D34,"&gt;3",'Budget &amp; Costs'!G9:G34,0.7)</f>
        <v>0</v>
      </c>
    </row>
    <row r="72" spans="3:18" ht="15" customHeight="1" x14ac:dyDescent="0.3">
      <c r="C72" s="383" t="s">
        <v>7896</v>
      </c>
      <c r="D72" s="293"/>
      <c r="F72" s="293"/>
      <c r="G72" s="138"/>
      <c r="L72" s="135" t="s">
        <v>1537</v>
      </c>
      <c r="M72" s="16">
        <f>SUMIFS('Budget &amp; Costs'!C9:C34,'Budget &amp; Costs'!D9:D34,0,'Budget &amp; Costs'!G9:G34,0.8)</f>
        <v>0</v>
      </c>
      <c r="N72" s="16">
        <f>SUMIFS('Budget &amp; Costs'!C9:C34,'Budget &amp; Costs'!D9:D34,1,'Budget &amp; Costs'!G9:G34,0.8)</f>
        <v>0</v>
      </c>
      <c r="O72" s="16">
        <f>SUMIFS('Budget &amp; Costs'!C9:C34,'Budget &amp; Costs'!D9:D34,2,'Budget &amp; Costs'!G9:G34,0.8)</f>
        <v>0</v>
      </c>
      <c r="P72" s="16">
        <f>SUMIFS('Budget &amp; Costs'!C9:C34,'Budget &amp; Costs'!D9:D34,3,'Budget &amp; Costs'!G9:G34,0.8)</f>
        <v>0</v>
      </c>
      <c r="Q72" s="16">
        <f>SUMIFS('Budget &amp; Costs'!C9:C34,'Budget &amp; Costs'!D9:D34,"&gt;3",'Budget &amp; Costs'!G9:G34,0.8)</f>
        <v>0</v>
      </c>
    </row>
    <row r="73" spans="3:18" ht="15" customHeight="1" x14ac:dyDescent="0.25">
      <c r="C73" s="293" t="s">
        <v>1406</v>
      </c>
      <c r="D73" s="457">
        <f>SUMIF(H9:H34,"&lt;=.8",C9:C34)-D74-D75-D76-D77-D78-D79</f>
        <v>0</v>
      </c>
      <c r="E73" s="388">
        <f>IFERROR(D73/(D49-D51),0)</f>
        <v>0</v>
      </c>
      <c r="F73" s="388">
        <f>IFERROR(D73/D50,0)</f>
        <v>0</v>
      </c>
      <c r="G73" s="513" t="str">
        <f>IF(AND(LIHTCs!C69&lt;&gt;"Average Income",COUNTIF(H9:H34,"=0.8")&gt;=1),"Selected minimum set-aside does not permit units above 60%","")</f>
        <v/>
      </c>
      <c r="L73" s="12" t="s">
        <v>151</v>
      </c>
      <c r="M73" s="15">
        <f>SUM(M65:M72)</f>
        <v>0</v>
      </c>
      <c r="N73" s="15">
        <f>SUM(N65:N72)</f>
        <v>0</v>
      </c>
      <c r="O73" s="15">
        <f>SUM(O65:O72)</f>
        <v>0</v>
      </c>
      <c r="P73" s="15">
        <f>SUM(P65:P72)</f>
        <v>0</v>
      </c>
      <c r="Q73" s="15">
        <f>SUM(Q65:Q72)</f>
        <v>0</v>
      </c>
      <c r="R73" s="15">
        <f>SUM(M73:Q73)</f>
        <v>0</v>
      </c>
    </row>
    <row r="74" spans="3:18" ht="15" customHeight="1" x14ac:dyDescent="0.25">
      <c r="C74" s="293" t="s">
        <v>1405</v>
      </c>
      <c r="D74" s="457">
        <f>SUMIF(H9:H34,"&lt;=.7",C9:C34)-D75-D76-D77-D78-D79</f>
        <v>0</v>
      </c>
      <c r="E74" s="388">
        <f>IFERROR(D74/(D49-D51),0)</f>
        <v>0</v>
      </c>
      <c r="F74" s="388">
        <f>IFERROR(D74/D50,0)</f>
        <v>0</v>
      </c>
      <c r="G74" s="513" t="str">
        <f>IF(AND(LIHTCs!C69&lt;&gt;"Average Income",COUNTIF(H9:H34,"=0.7")&gt;=1),"Selected minimum set-aside does not permit units above 60%","")</f>
        <v/>
      </c>
    </row>
    <row r="75" spans="3:18" ht="15" customHeight="1" x14ac:dyDescent="0.25">
      <c r="C75" s="293" t="s">
        <v>1404</v>
      </c>
      <c r="D75" s="457">
        <f>SUMIF(H9:H34,"&lt;=.6",C9:C34)-D76-D77-D78-D79</f>
        <v>0</v>
      </c>
      <c r="E75" s="388">
        <f>IFERROR(D75/(D49-D51),0)</f>
        <v>0</v>
      </c>
      <c r="F75" s="388">
        <f>IFERROR(D75/D50,0)</f>
        <v>0</v>
      </c>
      <c r="G75" s="138"/>
      <c r="K75" s="407"/>
    </row>
    <row r="76" spans="3:18" ht="15" customHeight="1" x14ac:dyDescent="0.25">
      <c r="C76" s="293" t="s">
        <v>1403</v>
      </c>
      <c r="D76" s="457">
        <f>SUMIF(H9:H34,"&lt;=.5",C9:C34)-D77-D78-D79</f>
        <v>0</v>
      </c>
      <c r="E76" s="388">
        <f>IFERROR(D76/(D49-D51),0)</f>
        <v>0</v>
      </c>
      <c r="F76" s="388">
        <f>IFERROR(D76/D50,0)</f>
        <v>0</v>
      </c>
      <c r="G76" s="138"/>
      <c r="K76" s="407"/>
    </row>
    <row r="77" spans="3:18" ht="15" customHeight="1" x14ac:dyDescent="0.25">
      <c r="C77" s="293" t="s">
        <v>1402</v>
      </c>
      <c r="D77" s="457">
        <f>SUMIF(H9:H34,"&lt;=.4",C9:C34)-D78-D79</f>
        <v>0</v>
      </c>
      <c r="E77" s="388">
        <f>IFERROR(D77/(D49-D51),0)</f>
        <v>0</v>
      </c>
      <c r="F77" s="388">
        <f>IFERROR(D77/D50,0)</f>
        <v>0</v>
      </c>
      <c r="G77" s="138"/>
      <c r="K77" s="407"/>
    </row>
    <row r="78" spans="3:18" ht="15" customHeight="1" x14ac:dyDescent="0.25">
      <c r="C78" s="293" t="s">
        <v>1401</v>
      </c>
      <c r="D78" s="457">
        <f>SUMIF(H9:H34,"&lt;=.3",C9:C34)-D79</f>
        <v>0</v>
      </c>
      <c r="E78" s="388">
        <f>IFERROR(D78/(D49-D51),0)</f>
        <v>0</v>
      </c>
      <c r="F78" s="388">
        <f>IFERROR(D78/D50,0)</f>
        <v>0</v>
      </c>
      <c r="G78" s="138"/>
      <c r="K78" s="407"/>
    </row>
    <row r="79" spans="3:18" ht="15" customHeight="1" x14ac:dyDescent="0.25">
      <c r="C79" s="293" t="s">
        <v>1407</v>
      </c>
      <c r="D79" s="456">
        <f>SUMIF(H9:H34,"&lt;=.2",C9:C34)</f>
        <v>0</v>
      </c>
      <c r="E79" s="388">
        <f>IFERROR(D79/(D49-D51),0)</f>
        <v>0</v>
      </c>
      <c r="F79" s="388">
        <f>IFERROR(D79/D50,0)</f>
        <v>0</v>
      </c>
      <c r="G79" s="138"/>
      <c r="K79" s="407"/>
    </row>
    <row r="80" spans="3:18" ht="14.25" customHeight="1" x14ac:dyDescent="0.25">
      <c r="C80" s="138"/>
      <c r="D80" s="138"/>
      <c r="E80" s="138"/>
      <c r="F80" s="138"/>
      <c r="G80" s="138"/>
      <c r="J80" s="301"/>
      <c r="K80" s="301"/>
    </row>
    <row r="81" spans="1:18" s="143" customFormat="1" ht="24.9" customHeight="1" x14ac:dyDescent="0.25">
      <c r="A81" s="464" t="s">
        <v>246</v>
      </c>
      <c r="B81" s="134"/>
      <c r="C81" s="470"/>
      <c r="D81" s="134"/>
      <c r="E81" s="134"/>
      <c r="F81" s="134"/>
      <c r="G81" s="134"/>
      <c r="H81" s="134"/>
      <c r="I81" s="470"/>
      <c r="J81" s="470"/>
      <c r="K81" s="470"/>
      <c r="L81" s="470"/>
      <c r="M81" s="470"/>
      <c r="N81" s="470"/>
      <c r="O81" s="470"/>
      <c r="P81" s="134"/>
      <c r="Q81" s="134"/>
    </row>
    <row r="82" spans="1:18" ht="14.25" customHeight="1" x14ac:dyDescent="0.3">
      <c r="A82" s="6"/>
      <c r="C82" s="763" t="s">
        <v>235</v>
      </c>
      <c r="D82" s="764"/>
      <c r="E82" s="33">
        <v>7.0000000000000007E-2</v>
      </c>
      <c r="R82" s="138"/>
    </row>
    <row r="83" spans="1:18" ht="14.25" customHeight="1" x14ac:dyDescent="0.3">
      <c r="A83" s="6"/>
      <c r="C83" s="763" t="s">
        <v>236</v>
      </c>
      <c r="D83" s="764"/>
      <c r="E83" s="93">
        <v>7.0000000000000007E-2</v>
      </c>
      <c r="R83" s="138"/>
    </row>
    <row r="84" spans="1:18" ht="14.25" customHeight="1" x14ac:dyDescent="0.3">
      <c r="A84" s="6"/>
      <c r="C84" s="18"/>
      <c r="D84" s="18"/>
      <c r="R84" s="138"/>
    </row>
    <row r="85" spans="1:18" s="143" customFormat="1" ht="24.9" customHeight="1" x14ac:dyDescent="0.25">
      <c r="A85" s="464" t="s">
        <v>246</v>
      </c>
      <c r="B85" s="469"/>
      <c r="C85" s="134"/>
      <c r="D85" s="134"/>
      <c r="E85" s="134"/>
      <c r="F85" s="134"/>
      <c r="G85" s="134"/>
      <c r="H85" s="134"/>
      <c r="I85" s="134"/>
      <c r="J85" s="134"/>
      <c r="K85" s="134"/>
      <c r="L85" s="134"/>
      <c r="M85" s="134"/>
      <c r="N85" s="134"/>
      <c r="O85" s="134"/>
      <c r="P85" s="134"/>
      <c r="Q85" s="134"/>
    </row>
    <row r="86" spans="1:18" ht="14.25" customHeight="1" x14ac:dyDescent="0.25">
      <c r="C86" s="48" t="s">
        <v>238</v>
      </c>
      <c r="F86" s="29">
        <f>C45</f>
        <v>0</v>
      </c>
      <c r="R86" s="138"/>
    </row>
    <row r="87" spans="1:18" ht="14.25" customHeight="1" x14ac:dyDescent="0.25">
      <c r="C87" s="48" t="s">
        <v>214</v>
      </c>
      <c r="F87" s="92">
        <f>'Project Details'!C244</f>
        <v>0</v>
      </c>
      <c r="R87" s="138"/>
    </row>
    <row r="88" spans="1:18" ht="14.25" customHeight="1" x14ac:dyDescent="0.25">
      <c r="R88" s="138"/>
    </row>
    <row r="89" spans="1:18" ht="15.75" customHeight="1" x14ac:dyDescent="0.25">
      <c r="F89" s="15" t="s">
        <v>153</v>
      </c>
      <c r="G89" s="15" t="s">
        <v>643</v>
      </c>
      <c r="R89" s="138"/>
    </row>
    <row r="90" spans="1:18" x14ac:dyDescent="0.25">
      <c r="B90" s="807" t="s">
        <v>241</v>
      </c>
      <c r="C90" s="5" t="s">
        <v>897</v>
      </c>
      <c r="F90" s="267">
        <f>P45*12</f>
        <v>0</v>
      </c>
      <c r="G90" s="267" t="e">
        <f t="shared" ref="G90:G95" si="4">F90/$F$86</f>
        <v>#DIV/0!</v>
      </c>
      <c r="R90" s="138"/>
    </row>
    <row r="91" spans="1:18" ht="14.25" customHeight="1" x14ac:dyDescent="0.25">
      <c r="B91" s="807"/>
      <c r="C91" s="5" t="s">
        <v>257</v>
      </c>
      <c r="F91" s="263">
        <v>0</v>
      </c>
      <c r="G91" s="267" t="e">
        <f t="shared" si="4"/>
        <v>#DIV/0!</v>
      </c>
      <c r="I91" s="41"/>
      <c r="R91" s="138"/>
    </row>
    <row r="92" spans="1:18" x14ac:dyDescent="0.25">
      <c r="B92" s="807"/>
      <c r="C92" s="5" t="s">
        <v>258</v>
      </c>
      <c r="F92" s="263">
        <v>0</v>
      </c>
      <c r="G92" s="267" t="e">
        <f t="shared" si="4"/>
        <v>#DIV/0!</v>
      </c>
      <c r="H92" s="42" t="s">
        <v>256</v>
      </c>
      <c r="I92" s="146"/>
      <c r="R92" s="138"/>
    </row>
    <row r="93" spans="1:18" x14ac:dyDescent="0.25">
      <c r="B93" s="807"/>
      <c r="C93" s="5" t="s">
        <v>259</v>
      </c>
      <c r="F93" s="263">
        <v>0</v>
      </c>
      <c r="G93" s="267" t="e">
        <f t="shared" si="4"/>
        <v>#DIV/0!</v>
      </c>
      <c r="H93" s="42" t="s">
        <v>256</v>
      </c>
      <c r="I93" s="146"/>
      <c r="R93" s="138"/>
    </row>
    <row r="94" spans="1:18" x14ac:dyDescent="0.25">
      <c r="B94" s="807"/>
      <c r="C94" s="5" t="s">
        <v>247</v>
      </c>
      <c r="F94" s="263">
        <v>0</v>
      </c>
      <c r="G94" s="267" t="e">
        <f t="shared" si="4"/>
        <v>#DIV/0!</v>
      </c>
      <c r="H94" s="34" t="str">
        <f>IF(F94&gt;0,"'Other' Detail","")</f>
        <v/>
      </c>
      <c r="I94" s="198"/>
      <c r="R94" s="138"/>
    </row>
    <row r="95" spans="1:18" x14ac:dyDescent="0.25">
      <c r="B95" s="807"/>
      <c r="C95" s="5" t="s">
        <v>239</v>
      </c>
      <c r="F95" s="267">
        <f>-((E82*(F91+F92+F90)))</f>
        <v>0</v>
      </c>
      <c r="G95" s="267" t="e">
        <f t="shared" si="4"/>
        <v>#DIV/0!</v>
      </c>
      <c r="H95" s="34"/>
      <c r="R95" s="138"/>
    </row>
    <row r="96" spans="1:18" x14ac:dyDescent="0.25">
      <c r="B96" s="807"/>
      <c r="E96" s="37" t="s">
        <v>240</v>
      </c>
      <c r="F96" s="283">
        <f>SUM(F90:F95)</f>
        <v>0</v>
      </c>
      <c r="G96" s="283" t="e">
        <f>SUM(G90:G95)</f>
        <v>#DIV/0!</v>
      </c>
      <c r="H96" s="34"/>
      <c r="I96" s="41"/>
      <c r="R96" s="138"/>
    </row>
    <row r="97" spans="2:18" x14ac:dyDescent="0.25">
      <c r="F97" s="284"/>
      <c r="G97" s="284"/>
      <c r="H97" s="34"/>
      <c r="I97" s="41"/>
      <c r="R97" s="138"/>
    </row>
    <row r="98" spans="2:18" ht="14.25" customHeight="1" x14ac:dyDescent="0.25">
      <c r="B98" s="802" t="s">
        <v>245</v>
      </c>
      <c r="C98" s="5" t="s">
        <v>242</v>
      </c>
      <c r="F98" s="263"/>
      <c r="G98" s="267" t="e">
        <f>F98/$C$45</f>
        <v>#DIV/0!</v>
      </c>
      <c r="H98" s="34"/>
      <c r="I98" s="41"/>
      <c r="R98" s="138"/>
    </row>
    <row r="99" spans="2:18" x14ac:dyDescent="0.25">
      <c r="B99" s="803"/>
      <c r="C99" s="5" t="s">
        <v>243</v>
      </c>
      <c r="F99" s="263">
        <v>0</v>
      </c>
      <c r="G99" s="267" t="e">
        <f>F99/$C$45</f>
        <v>#DIV/0!</v>
      </c>
      <c r="H99" s="34"/>
      <c r="I99" s="41"/>
      <c r="R99" s="138"/>
    </row>
    <row r="100" spans="2:18" x14ac:dyDescent="0.25">
      <c r="B100" s="803"/>
      <c r="C100" s="5" t="s">
        <v>248</v>
      </c>
      <c r="F100" s="263">
        <v>0</v>
      </c>
      <c r="G100" s="267" t="e">
        <f>F100/$C$45</f>
        <v>#DIV/0!</v>
      </c>
      <c r="H100" s="34" t="str">
        <f>IF(F100&gt;0,"'Other' Detail","")</f>
        <v/>
      </c>
      <c r="I100" s="198"/>
      <c r="R100" s="138"/>
    </row>
    <row r="101" spans="2:18" x14ac:dyDescent="0.25">
      <c r="B101" s="804"/>
      <c r="E101" s="37" t="s">
        <v>244</v>
      </c>
      <c r="F101" s="283">
        <f>SUM(F98:F100)</f>
        <v>0</v>
      </c>
      <c r="G101" s="283" t="e">
        <f>SUM(G98:G100)</f>
        <v>#DIV/0!</v>
      </c>
      <c r="H101" s="34"/>
      <c r="R101" s="138"/>
    </row>
    <row r="102" spans="2:18" x14ac:dyDescent="0.25">
      <c r="F102" s="284"/>
      <c r="G102" s="284"/>
      <c r="H102" s="34"/>
      <c r="I102" s="41"/>
      <c r="R102" s="138"/>
    </row>
    <row r="103" spans="2:18" ht="14.25" customHeight="1" x14ac:dyDescent="0.25">
      <c r="B103" s="802" t="s">
        <v>275</v>
      </c>
      <c r="C103" s="5" t="s">
        <v>249</v>
      </c>
      <c r="F103" s="263">
        <v>0</v>
      </c>
      <c r="G103" s="267" t="e">
        <f t="shared" ref="G103:G108" si="5">F103/$C$45</f>
        <v>#DIV/0!</v>
      </c>
      <c r="H103" s="34"/>
      <c r="I103" s="41"/>
      <c r="R103" s="138"/>
    </row>
    <row r="104" spans="2:18" ht="14.25" customHeight="1" x14ac:dyDescent="0.25">
      <c r="B104" s="803"/>
      <c r="C104" s="5" t="s">
        <v>250</v>
      </c>
      <c r="F104" s="263">
        <v>0</v>
      </c>
      <c r="G104" s="267" t="e">
        <f t="shared" si="5"/>
        <v>#DIV/0!</v>
      </c>
      <c r="H104" s="34"/>
      <c r="I104" s="41"/>
      <c r="R104" s="138"/>
    </row>
    <row r="105" spans="2:18" x14ac:dyDescent="0.25">
      <c r="B105" s="803"/>
      <c r="C105" s="5" t="s">
        <v>251</v>
      </c>
      <c r="F105" s="263">
        <v>0</v>
      </c>
      <c r="G105" s="267" t="e">
        <f t="shared" si="5"/>
        <v>#DIV/0!</v>
      </c>
      <c r="H105" s="34"/>
    </row>
    <row r="106" spans="2:18" x14ac:dyDescent="0.25">
      <c r="B106" s="803"/>
      <c r="C106" s="5" t="s">
        <v>252</v>
      </c>
      <c r="F106" s="263">
        <v>0</v>
      </c>
      <c r="G106" s="267" t="e">
        <f t="shared" si="5"/>
        <v>#DIV/0!</v>
      </c>
      <c r="H106" s="34" t="str">
        <f>IF(F106&gt;0,"'Other' Detail","")</f>
        <v/>
      </c>
      <c r="I106" s="198"/>
    </row>
    <row r="107" spans="2:18" x14ac:dyDescent="0.25">
      <c r="B107" s="803"/>
      <c r="C107" s="5" t="s">
        <v>253</v>
      </c>
      <c r="F107" s="263">
        <v>0</v>
      </c>
      <c r="G107" s="267" t="e">
        <f t="shared" si="5"/>
        <v>#DIV/0!</v>
      </c>
      <c r="H107" s="34" t="str">
        <f>IF(F107&gt;0,"'Other Detail'","")</f>
        <v/>
      </c>
      <c r="I107" s="198"/>
    </row>
    <row r="108" spans="2:18" x14ac:dyDescent="0.25">
      <c r="B108" s="803"/>
      <c r="C108" s="5" t="s">
        <v>254</v>
      </c>
      <c r="F108" s="263">
        <v>0</v>
      </c>
      <c r="G108" s="267" t="e">
        <f t="shared" si="5"/>
        <v>#DIV/0!</v>
      </c>
      <c r="H108" s="34" t="str">
        <f>IF(F108&gt;0,"'Other Detail'","")</f>
        <v/>
      </c>
      <c r="I108" s="198"/>
    </row>
    <row r="109" spans="2:18" x14ac:dyDescent="0.25">
      <c r="B109" s="804"/>
      <c r="E109" s="37" t="s">
        <v>255</v>
      </c>
      <c r="F109" s="283">
        <f>SUM(F103:F108)</f>
        <v>0</v>
      </c>
      <c r="G109" s="283" t="e">
        <f>SUM(G103:G108)</f>
        <v>#DIV/0!</v>
      </c>
      <c r="H109" s="34"/>
    </row>
    <row r="110" spans="2:18" x14ac:dyDescent="0.25">
      <c r="F110" s="284"/>
      <c r="G110" s="284"/>
      <c r="H110" s="34"/>
      <c r="I110" s="41"/>
    </row>
    <row r="111" spans="2:18" x14ac:dyDescent="0.25">
      <c r="E111" s="37" t="s">
        <v>260</v>
      </c>
      <c r="F111" s="283">
        <f>F109+F101+F96</f>
        <v>0</v>
      </c>
      <c r="G111" s="283" t="e">
        <f>G109+G101+G96</f>
        <v>#DIV/0!</v>
      </c>
      <c r="H111" s="34"/>
      <c r="I111" s="41"/>
    </row>
    <row r="112" spans="2:18" x14ac:dyDescent="0.25">
      <c r="F112" s="284"/>
      <c r="G112" s="284"/>
      <c r="H112" s="34"/>
      <c r="I112" s="41"/>
    </row>
    <row r="113" spans="1:18" s="143" customFormat="1" ht="24.9" customHeight="1" x14ac:dyDescent="0.25">
      <c r="A113" s="465" t="s">
        <v>261</v>
      </c>
      <c r="B113" s="134"/>
      <c r="C113" s="134"/>
      <c r="D113" s="134"/>
      <c r="E113" s="134"/>
      <c r="F113" s="466"/>
      <c r="G113" s="466"/>
      <c r="H113" s="467"/>
      <c r="I113" s="468"/>
      <c r="J113" s="134"/>
      <c r="K113" s="134"/>
      <c r="L113" s="134"/>
      <c r="M113" s="134"/>
      <c r="N113" s="134"/>
      <c r="O113" s="134"/>
      <c r="P113" s="134"/>
      <c r="Q113" s="134"/>
      <c r="R113" s="134"/>
    </row>
    <row r="114" spans="1:18" x14ac:dyDescent="0.25">
      <c r="F114" s="285" t="s">
        <v>153</v>
      </c>
      <c r="G114" s="285" t="s">
        <v>643</v>
      </c>
      <c r="H114" s="34"/>
      <c r="I114" s="41"/>
    </row>
    <row r="115" spans="1:18" ht="14.25" customHeight="1" x14ac:dyDescent="0.25">
      <c r="B115" s="806" t="s">
        <v>274</v>
      </c>
      <c r="C115" s="5" t="s">
        <v>262</v>
      </c>
      <c r="F115" s="263">
        <v>0</v>
      </c>
      <c r="G115" s="267" t="e">
        <f t="shared" ref="G115:G129" si="6">F115/$C$45</f>
        <v>#DIV/0!</v>
      </c>
      <c r="H115" s="34"/>
      <c r="I115" s="41"/>
    </row>
    <row r="116" spans="1:18" x14ac:dyDescent="0.25">
      <c r="B116" s="806"/>
      <c r="C116" s="5" t="s">
        <v>263</v>
      </c>
      <c r="F116" s="263">
        <v>0</v>
      </c>
      <c r="G116" s="267" t="e">
        <f t="shared" si="6"/>
        <v>#DIV/0!</v>
      </c>
      <c r="H116" s="34"/>
      <c r="I116" s="41"/>
    </row>
    <row r="117" spans="1:18" x14ac:dyDescent="0.25">
      <c r="B117" s="806"/>
      <c r="C117" s="5" t="s">
        <v>264</v>
      </c>
      <c r="F117" s="263">
        <v>0</v>
      </c>
      <c r="G117" s="267" t="e">
        <f t="shared" si="6"/>
        <v>#DIV/0!</v>
      </c>
      <c r="H117" s="34"/>
      <c r="I117" s="41"/>
    </row>
    <row r="118" spans="1:18" x14ac:dyDescent="0.25">
      <c r="B118" s="806"/>
      <c r="C118" s="5" t="s">
        <v>265</v>
      </c>
      <c r="F118" s="263">
        <v>0</v>
      </c>
      <c r="G118" s="267" t="e">
        <f t="shared" si="6"/>
        <v>#DIV/0!</v>
      </c>
      <c r="H118" s="34"/>
      <c r="I118" s="41"/>
    </row>
    <row r="119" spans="1:18" x14ac:dyDescent="0.25">
      <c r="B119" s="806"/>
      <c r="C119" s="5" t="s">
        <v>266</v>
      </c>
      <c r="F119" s="263">
        <v>0</v>
      </c>
      <c r="G119" s="267" t="e">
        <f t="shared" si="6"/>
        <v>#DIV/0!</v>
      </c>
      <c r="H119" s="34"/>
      <c r="I119" s="41"/>
    </row>
    <row r="120" spans="1:18" x14ac:dyDescent="0.25">
      <c r="B120" s="806"/>
      <c r="C120" s="5" t="s">
        <v>267</v>
      </c>
      <c r="F120" s="263">
        <v>0</v>
      </c>
      <c r="G120" s="267" t="e">
        <f t="shared" si="6"/>
        <v>#DIV/0!</v>
      </c>
      <c r="H120" s="34"/>
      <c r="I120" s="41"/>
    </row>
    <row r="121" spans="1:18" x14ac:dyDescent="0.25">
      <c r="B121" s="806"/>
      <c r="C121" s="5" t="s">
        <v>268</v>
      </c>
      <c r="F121" s="263">
        <v>0</v>
      </c>
      <c r="G121" s="267" t="e">
        <f t="shared" si="6"/>
        <v>#DIV/0!</v>
      </c>
      <c r="H121" s="34"/>
      <c r="I121" s="41"/>
    </row>
    <row r="122" spans="1:18" x14ac:dyDescent="0.25">
      <c r="B122" s="806"/>
      <c r="C122" s="5" t="s">
        <v>269</v>
      </c>
      <c r="F122" s="263">
        <v>0</v>
      </c>
      <c r="G122" s="267" t="e">
        <f t="shared" si="6"/>
        <v>#DIV/0!</v>
      </c>
      <c r="H122" s="34"/>
      <c r="I122" s="41"/>
    </row>
    <row r="123" spans="1:18" x14ac:dyDescent="0.25">
      <c r="B123" s="806"/>
      <c r="C123" s="5" t="s">
        <v>270</v>
      </c>
      <c r="F123" s="263">
        <v>0</v>
      </c>
      <c r="G123" s="267" t="e">
        <f t="shared" si="6"/>
        <v>#DIV/0!</v>
      </c>
      <c r="H123" s="34"/>
      <c r="I123" s="41"/>
    </row>
    <row r="124" spans="1:18" x14ac:dyDescent="0.25">
      <c r="B124" s="806"/>
      <c r="C124" s="5" t="s">
        <v>271</v>
      </c>
      <c r="F124" s="263">
        <v>0</v>
      </c>
      <c r="G124" s="267" t="e">
        <f t="shared" si="6"/>
        <v>#DIV/0!</v>
      </c>
      <c r="H124" s="34"/>
      <c r="I124" s="41"/>
    </row>
    <row r="125" spans="1:18" x14ac:dyDescent="0.25">
      <c r="B125" s="806"/>
      <c r="C125" s="5" t="s">
        <v>272</v>
      </c>
      <c r="F125" s="263">
        <v>0</v>
      </c>
      <c r="G125" s="267" t="e">
        <f t="shared" si="6"/>
        <v>#DIV/0!</v>
      </c>
      <c r="H125" s="34"/>
      <c r="I125" s="41"/>
    </row>
    <row r="126" spans="1:18" x14ac:dyDescent="0.25">
      <c r="B126" s="806"/>
      <c r="C126" s="5" t="s">
        <v>273</v>
      </c>
      <c r="F126" s="263">
        <v>0</v>
      </c>
      <c r="G126" s="267" t="e">
        <f t="shared" si="6"/>
        <v>#DIV/0!</v>
      </c>
      <c r="H126" s="34"/>
      <c r="I126" s="41"/>
    </row>
    <row r="127" spans="1:18" x14ac:dyDescent="0.25">
      <c r="B127" s="806"/>
      <c r="C127" s="5" t="s">
        <v>4912</v>
      </c>
      <c r="F127" s="263">
        <v>0</v>
      </c>
      <c r="G127" s="267" t="e">
        <f t="shared" si="6"/>
        <v>#DIV/0!</v>
      </c>
      <c r="H127" s="34" t="str">
        <f>IF(F127&gt;0,"'Other' Detail","")</f>
        <v/>
      </c>
      <c r="I127" s="198"/>
    </row>
    <row r="128" spans="1:18" x14ac:dyDescent="0.25">
      <c r="B128" s="806"/>
      <c r="C128" s="5" t="s">
        <v>277</v>
      </c>
      <c r="F128" s="263">
        <v>0</v>
      </c>
      <c r="G128" s="267" t="e">
        <f t="shared" si="6"/>
        <v>#DIV/0!</v>
      </c>
      <c r="H128" s="34" t="str">
        <f>IF(F128&gt;0,"'Other' Detail","")</f>
        <v/>
      </c>
      <c r="I128" s="198"/>
    </row>
    <row r="129" spans="2:9" x14ac:dyDescent="0.25">
      <c r="B129" s="806"/>
      <c r="C129" s="5" t="s">
        <v>278</v>
      </c>
      <c r="F129" s="263">
        <v>0</v>
      </c>
      <c r="G129" s="267" t="e">
        <f t="shared" si="6"/>
        <v>#DIV/0!</v>
      </c>
      <c r="H129" s="34" t="str">
        <f>IF(F129&gt;0,"'Other' Detail","")</f>
        <v/>
      </c>
      <c r="I129" s="198"/>
    </row>
    <row r="130" spans="2:9" x14ac:dyDescent="0.25">
      <c r="B130" s="806"/>
      <c r="E130" s="37" t="s">
        <v>276</v>
      </c>
      <c r="F130" s="283">
        <f>SUM(F115:F129)</f>
        <v>0</v>
      </c>
      <c r="G130" s="283" t="e">
        <f>SUM(G115:G129)</f>
        <v>#DIV/0!</v>
      </c>
      <c r="H130" s="34"/>
    </row>
    <row r="131" spans="2:9" x14ac:dyDescent="0.25">
      <c r="F131" s="284"/>
      <c r="G131" s="284"/>
      <c r="H131" s="34"/>
      <c r="I131" s="41"/>
    </row>
    <row r="132" spans="2:9" ht="14.25" customHeight="1" x14ac:dyDescent="0.25">
      <c r="B132" s="805" t="s">
        <v>1140</v>
      </c>
      <c r="C132" s="5" t="s">
        <v>279</v>
      </c>
      <c r="F132" s="263">
        <v>0</v>
      </c>
      <c r="G132" s="267" t="e">
        <f t="shared" ref="G132:G138" si="7">F132/$C$45</f>
        <v>#DIV/0!</v>
      </c>
      <c r="H132" s="34"/>
      <c r="I132" s="41"/>
    </row>
    <row r="133" spans="2:9" x14ac:dyDescent="0.25">
      <c r="B133" s="805"/>
      <c r="C133" s="5" t="s">
        <v>280</v>
      </c>
      <c r="F133" s="263">
        <v>0</v>
      </c>
      <c r="G133" s="267" t="e">
        <f t="shared" si="7"/>
        <v>#DIV/0!</v>
      </c>
      <c r="H133" s="34"/>
      <c r="I133" s="41"/>
    </row>
    <row r="134" spans="2:9" x14ac:dyDescent="0.25">
      <c r="B134" s="805"/>
      <c r="C134" s="5" t="s">
        <v>281</v>
      </c>
      <c r="F134" s="263">
        <v>0</v>
      </c>
      <c r="G134" s="267" t="e">
        <f t="shared" si="7"/>
        <v>#DIV/0!</v>
      </c>
      <c r="H134" s="34"/>
      <c r="I134" s="41"/>
    </row>
    <row r="135" spans="2:9" x14ac:dyDescent="0.25">
      <c r="B135" s="805"/>
      <c r="C135" s="5" t="s">
        <v>282</v>
      </c>
      <c r="F135" s="263">
        <v>0</v>
      </c>
      <c r="G135" s="267" t="e">
        <f t="shared" si="7"/>
        <v>#DIV/0!</v>
      </c>
      <c r="H135" s="34"/>
      <c r="I135" s="41"/>
    </row>
    <row r="136" spans="2:9" x14ac:dyDescent="0.25">
      <c r="B136" s="805"/>
      <c r="C136" s="5" t="s">
        <v>283</v>
      </c>
      <c r="F136" s="263">
        <v>0</v>
      </c>
      <c r="G136" s="267" t="e">
        <f t="shared" si="7"/>
        <v>#DIV/0!</v>
      </c>
      <c r="H136" s="34"/>
      <c r="I136" s="41"/>
    </row>
    <row r="137" spans="2:9" x14ac:dyDescent="0.25">
      <c r="B137" s="805"/>
      <c r="C137" s="5" t="s">
        <v>284</v>
      </c>
      <c r="F137" s="263">
        <v>0</v>
      </c>
      <c r="G137" s="267" t="e">
        <f t="shared" si="7"/>
        <v>#DIV/0!</v>
      </c>
      <c r="H137" s="34" t="str">
        <f>IF(F137&gt;0,"'Other' Detail","")</f>
        <v/>
      </c>
      <c r="I137" s="198"/>
    </row>
    <row r="138" spans="2:9" x14ac:dyDescent="0.25">
      <c r="B138" s="805"/>
      <c r="C138" s="5" t="s">
        <v>285</v>
      </c>
      <c r="F138" s="263">
        <v>0</v>
      </c>
      <c r="G138" s="267" t="e">
        <f t="shared" si="7"/>
        <v>#DIV/0!</v>
      </c>
      <c r="H138" s="34" t="str">
        <f>IF(F138&gt;0,"'Other' Detail","")</f>
        <v/>
      </c>
      <c r="I138" s="198"/>
    </row>
    <row r="139" spans="2:9" x14ac:dyDescent="0.25">
      <c r="B139" s="805"/>
      <c r="E139" s="37" t="s">
        <v>286</v>
      </c>
      <c r="F139" s="283">
        <f>SUM(F132:F138)</f>
        <v>0</v>
      </c>
      <c r="G139" s="283" t="e">
        <f>SUM(G132:G138)</f>
        <v>#DIV/0!</v>
      </c>
      <c r="H139" s="34"/>
    </row>
    <row r="140" spans="2:9" x14ac:dyDescent="0.25">
      <c r="F140" s="284"/>
      <c r="G140" s="284"/>
      <c r="H140" s="34"/>
      <c r="I140" s="41"/>
    </row>
    <row r="141" spans="2:9" ht="14.25" customHeight="1" x14ac:dyDescent="0.25">
      <c r="B141" s="805" t="s">
        <v>300</v>
      </c>
      <c r="C141" s="5" t="s">
        <v>301</v>
      </c>
      <c r="F141" s="263">
        <v>0</v>
      </c>
      <c r="G141" s="267" t="e">
        <f t="shared" ref="G141:G157" si="8">F141/$C$45</f>
        <v>#DIV/0!</v>
      </c>
      <c r="H141" s="34"/>
      <c r="I141" s="41"/>
    </row>
    <row r="142" spans="2:9" x14ac:dyDescent="0.25">
      <c r="B142" s="805"/>
      <c r="C142" s="5" t="s">
        <v>287</v>
      </c>
      <c r="F142" s="263">
        <v>0</v>
      </c>
      <c r="G142" s="267" t="e">
        <f t="shared" si="8"/>
        <v>#DIV/0!</v>
      </c>
      <c r="H142" s="34"/>
      <c r="I142" s="41"/>
    </row>
    <row r="143" spans="2:9" x14ac:dyDescent="0.25">
      <c r="B143" s="805"/>
      <c r="C143" s="5" t="s">
        <v>288</v>
      </c>
      <c r="F143" s="263">
        <v>0</v>
      </c>
      <c r="G143" s="267" t="e">
        <f t="shared" si="8"/>
        <v>#DIV/0!</v>
      </c>
      <c r="H143" s="34"/>
      <c r="I143" s="41"/>
    </row>
    <row r="144" spans="2:9" x14ac:dyDescent="0.25">
      <c r="B144" s="805"/>
      <c r="C144" s="5" t="s">
        <v>289</v>
      </c>
      <c r="F144" s="263">
        <v>0</v>
      </c>
      <c r="G144" s="267" t="e">
        <f t="shared" si="8"/>
        <v>#DIV/0!</v>
      </c>
      <c r="H144" s="34"/>
      <c r="I144" s="41"/>
    </row>
    <row r="145" spans="2:11" x14ac:dyDescent="0.25">
      <c r="B145" s="805"/>
      <c r="C145" s="5" t="s">
        <v>290</v>
      </c>
      <c r="F145" s="263">
        <v>0</v>
      </c>
      <c r="G145" s="267" t="e">
        <f t="shared" si="8"/>
        <v>#DIV/0!</v>
      </c>
      <c r="H145" s="34"/>
      <c r="I145" s="41"/>
    </row>
    <row r="146" spans="2:11" x14ac:dyDescent="0.25">
      <c r="B146" s="805"/>
      <c r="C146" s="5" t="s">
        <v>291</v>
      </c>
      <c r="F146" s="263">
        <v>0</v>
      </c>
      <c r="G146" s="267" t="e">
        <f t="shared" si="8"/>
        <v>#DIV/0!</v>
      </c>
      <c r="H146" s="34"/>
      <c r="I146" s="41"/>
    </row>
    <row r="147" spans="2:11" x14ac:dyDescent="0.25">
      <c r="B147" s="805"/>
      <c r="C147" s="5" t="s">
        <v>292</v>
      </c>
      <c r="F147" s="263">
        <v>0</v>
      </c>
      <c r="G147" s="267" t="e">
        <f t="shared" si="8"/>
        <v>#DIV/0!</v>
      </c>
      <c r="H147" s="34"/>
      <c r="I147" s="41"/>
    </row>
    <row r="148" spans="2:11" x14ac:dyDescent="0.25">
      <c r="B148" s="805"/>
      <c r="C148" s="5" t="s">
        <v>293</v>
      </c>
      <c r="F148" s="263">
        <v>0</v>
      </c>
      <c r="G148" s="267" t="e">
        <f t="shared" si="8"/>
        <v>#DIV/0!</v>
      </c>
      <c r="H148" s="34"/>
      <c r="I148" s="41"/>
    </row>
    <row r="149" spans="2:11" x14ac:dyDescent="0.25">
      <c r="B149" s="805"/>
      <c r="C149" s="5" t="s">
        <v>294</v>
      </c>
      <c r="F149" s="263">
        <v>0</v>
      </c>
      <c r="G149" s="267" t="e">
        <f t="shared" si="8"/>
        <v>#DIV/0!</v>
      </c>
      <c r="H149" s="34"/>
      <c r="I149" s="41"/>
    </row>
    <row r="150" spans="2:11" x14ac:dyDescent="0.25">
      <c r="B150" s="805"/>
      <c r="C150" s="5" t="s">
        <v>295</v>
      </c>
      <c r="F150" s="263">
        <v>0</v>
      </c>
      <c r="G150" s="267" t="e">
        <f t="shared" si="8"/>
        <v>#DIV/0!</v>
      </c>
      <c r="H150" s="34"/>
      <c r="I150" s="41"/>
    </row>
    <row r="151" spans="2:11" x14ac:dyDescent="0.25">
      <c r="B151" s="805"/>
      <c r="C151" s="5" t="s">
        <v>296</v>
      </c>
      <c r="F151" s="263">
        <v>0</v>
      </c>
      <c r="G151" s="267" t="e">
        <f t="shared" si="8"/>
        <v>#DIV/0!</v>
      </c>
      <c r="H151" s="34"/>
      <c r="I151" s="41"/>
    </row>
    <row r="152" spans="2:11" x14ac:dyDescent="0.25">
      <c r="B152" s="805"/>
      <c r="C152" s="5" t="s">
        <v>297</v>
      </c>
      <c r="F152" s="263">
        <v>0</v>
      </c>
      <c r="G152" s="267" t="e">
        <f t="shared" si="8"/>
        <v>#DIV/0!</v>
      </c>
      <c r="H152" s="34"/>
      <c r="I152" s="41"/>
    </row>
    <row r="153" spans="2:11" x14ac:dyDescent="0.25">
      <c r="B153" s="805"/>
      <c r="C153" s="5" t="s">
        <v>298</v>
      </c>
      <c r="F153" s="263">
        <v>0</v>
      </c>
      <c r="G153" s="267" t="e">
        <f t="shared" si="8"/>
        <v>#DIV/0!</v>
      </c>
      <c r="H153" s="34"/>
      <c r="I153" s="41"/>
    </row>
    <row r="154" spans="2:11" x14ac:dyDescent="0.25">
      <c r="B154" s="805"/>
      <c r="C154" s="5" t="s">
        <v>302</v>
      </c>
      <c r="F154" s="263">
        <v>0</v>
      </c>
      <c r="G154" s="267" t="e">
        <f t="shared" si="8"/>
        <v>#DIV/0!</v>
      </c>
      <c r="H154" s="34" t="str">
        <f>IF(F154&gt;0,"'Other' Detail","")</f>
        <v/>
      </c>
      <c r="I154" s="198"/>
    </row>
    <row r="155" spans="2:11" x14ac:dyDescent="0.25">
      <c r="B155" s="805"/>
      <c r="C155" s="5" t="s">
        <v>303</v>
      </c>
      <c r="F155" s="263">
        <v>0</v>
      </c>
      <c r="G155" s="267" t="e">
        <f t="shared" si="8"/>
        <v>#DIV/0!</v>
      </c>
      <c r="H155" s="34" t="str">
        <f>IF(F155&gt;0,"'Other' Detail","")</f>
        <v/>
      </c>
      <c r="I155" s="198"/>
    </row>
    <row r="156" spans="2:11" x14ac:dyDescent="0.25">
      <c r="B156" s="805"/>
      <c r="C156" s="5" t="s">
        <v>304</v>
      </c>
      <c r="F156" s="263">
        <v>0</v>
      </c>
      <c r="G156" s="267" t="e">
        <f t="shared" si="8"/>
        <v>#DIV/0!</v>
      </c>
      <c r="H156" s="34" t="str">
        <f>IF(F156&gt;0,"'Other' Detail","")</f>
        <v/>
      </c>
      <c r="I156" s="198"/>
    </row>
    <row r="157" spans="2:11" x14ac:dyDescent="0.25">
      <c r="B157" s="805"/>
      <c r="C157" s="5" t="s">
        <v>305</v>
      </c>
      <c r="F157" s="263">
        <v>0</v>
      </c>
      <c r="G157" s="267" t="e">
        <f t="shared" si="8"/>
        <v>#DIV/0!</v>
      </c>
      <c r="H157" s="34" t="str">
        <f>IF(F157&gt;0,"'Other' Detail","")</f>
        <v/>
      </c>
      <c r="I157" s="198"/>
    </row>
    <row r="158" spans="2:11" x14ac:dyDescent="0.25">
      <c r="B158" s="805"/>
      <c r="E158" s="37" t="s">
        <v>299</v>
      </c>
      <c r="F158" s="283">
        <f>SUM(F141:F157)</f>
        <v>0</v>
      </c>
      <c r="G158" s="283" t="e">
        <f>SUM(G141:G157)</f>
        <v>#DIV/0!</v>
      </c>
      <c r="H158" s="34"/>
    </row>
    <row r="159" spans="2:11" x14ac:dyDescent="0.25">
      <c r="F159" s="284"/>
      <c r="G159" s="284"/>
      <c r="H159" s="34"/>
      <c r="I159" s="41"/>
    </row>
    <row r="160" spans="2:11" ht="14.25" customHeight="1" x14ac:dyDescent="0.25">
      <c r="B160" s="805" t="s">
        <v>313</v>
      </c>
      <c r="C160" s="5" t="s">
        <v>306</v>
      </c>
      <c r="F160" s="263">
        <v>0</v>
      </c>
      <c r="G160" s="267" t="e">
        <f t="shared" ref="G160:G169" si="9">F160/$C$45</f>
        <v>#DIV/0!</v>
      </c>
      <c r="H160" s="34"/>
      <c r="I160" s="41" t="s">
        <v>4913</v>
      </c>
      <c r="J160" s="33"/>
      <c r="K160" s="5" t="str">
        <f>IF(J160="Yes","Provide proof of tax abatement the calculation of abatement in with your financial commitments. The unabated amount should be in the cell to the left and the value of the abatement must  be entered on the appropriate row of the Cashflow Sheet."," ")</f>
        <v xml:space="preserve"> </v>
      </c>
    </row>
    <row r="161" spans="2:9" x14ac:dyDescent="0.25">
      <c r="B161" s="805"/>
      <c r="C161" s="5" t="s">
        <v>307</v>
      </c>
      <c r="F161" s="263">
        <v>0</v>
      </c>
      <c r="G161" s="267" t="e">
        <f t="shared" si="9"/>
        <v>#DIV/0!</v>
      </c>
      <c r="H161" s="34"/>
      <c r="I161" s="41"/>
    </row>
    <row r="162" spans="2:9" x14ac:dyDescent="0.25">
      <c r="B162" s="805"/>
      <c r="C162" s="5" t="s">
        <v>308</v>
      </c>
      <c r="F162" s="263">
        <v>0</v>
      </c>
      <c r="G162" s="267" t="e">
        <f t="shared" si="9"/>
        <v>#DIV/0!</v>
      </c>
      <c r="H162" s="34"/>
      <c r="I162" s="41"/>
    </row>
    <row r="163" spans="2:9" x14ac:dyDescent="0.25">
      <c r="B163" s="805"/>
      <c r="C163" s="5" t="s">
        <v>309</v>
      </c>
      <c r="F163" s="263">
        <v>0</v>
      </c>
      <c r="G163" s="267" t="e">
        <f t="shared" si="9"/>
        <v>#DIV/0!</v>
      </c>
      <c r="H163" s="34"/>
      <c r="I163" s="41"/>
    </row>
    <row r="164" spans="2:9" x14ac:dyDescent="0.25">
      <c r="B164" s="805"/>
      <c r="C164" s="5" t="s">
        <v>310</v>
      </c>
      <c r="F164" s="263">
        <v>0</v>
      </c>
      <c r="G164" s="267" t="e">
        <f t="shared" si="9"/>
        <v>#DIV/0!</v>
      </c>
      <c r="H164" s="34"/>
      <c r="I164" s="41"/>
    </row>
    <row r="165" spans="2:9" x14ac:dyDescent="0.25">
      <c r="B165" s="805"/>
      <c r="C165" s="5" t="s">
        <v>311</v>
      </c>
      <c r="F165" s="263">
        <v>0</v>
      </c>
      <c r="G165" s="267" t="e">
        <f t="shared" si="9"/>
        <v>#DIV/0!</v>
      </c>
      <c r="H165" s="34"/>
      <c r="I165" s="41"/>
    </row>
    <row r="166" spans="2:9" x14ac:dyDescent="0.25">
      <c r="B166" s="805"/>
      <c r="C166" s="5" t="s">
        <v>312</v>
      </c>
      <c r="F166" s="263">
        <v>0</v>
      </c>
      <c r="G166" s="267" t="e">
        <f t="shared" si="9"/>
        <v>#DIV/0!</v>
      </c>
      <c r="H166" s="34"/>
      <c r="I166" s="41"/>
    </row>
    <row r="167" spans="2:9" x14ac:dyDescent="0.25">
      <c r="B167" s="805"/>
      <c r="C167" s="5" t="s">
        <v>314</v>
      </c>
      <c r="F167" s="263">
        <v>0</v>
      </c>
      <c r="G167" s="267" t="e">
        <f t="shared" si="9"/>
        <v>#DIV/0!</v>
      </c>
      <c r="H167" s="34" t="str">
        <f>IF(F167&gt;0,"'Other' Detail","")</f>
        <v/>
      </c>
      <c r="I167" s="198"/>
    </row>
    <row r="168" spans="2:9" x14ac:dyDescent="0.25">
      <c r="B168" s="805"/>
      <c r="C168" s="5" t="s">
        <v>315</v>
      </c>
      <c r="F168" s="263">
        <v>0</v>
      </c>
      <c r="G168" s="267" t="e">
        <f t="shared" si="9"/>
        <v>#DIV/0!</v>
      </c>
      <c r="H168" s="34" t="str">
        <f>IF(F168&gt;0,"'Other' Detail","")</f>
        <v/>
      </c>
      <c r="I168" s="198"/>
    </row>
    <row r="169" spans="2:9" x14ac:dyDescent="0.25">
      <c r="B169" s="805"/>
      <c r="C169" s="5" t="s">
        <v>316</v>
      </c>
      <c r="F169" s="263">
        <v>0</v>
      </c>
      <c r="G169" s="267" t="e">
        <f t="shared" si="9"/>
        <v>#DIV/0!</v>
      </c>
      <c r="H169" s="34" t="str">
        <f>IF(F169&gt;0,"'Other' Detail","")</f>
        <v/>
      </c>
      <c r="I169" s="198"/>
    </row>
    <row r="170" spans="2:9" x14ac:dyDescent="0.25">
      <c r="E170" s="37" t="s">
        <v>317</v>
      </c>
      <c r="F170" s="283">
        <f>SUM(F160:F169)</f>
        <v>0</v>
      </c>
      <c r="G170" s="283" t="e">
        <f>SUM(G160:G169)</f>
        <v>#DIV/0!</v>
      </c>
      <c r="H170" s="34"/>
    </row>
    <row r="171" spans="2:9" x14ac:dyDescent="0.25">
      <c r="F171" s="284"/>
      <c r="G171" s="284"/>
      <c r="H171" s="34"/>
      <c r="I171" s="41"/>
    </row>
    <row r="172" spans="2:9" ht="14.25" customHeight="1" x14ac:dyDescent="0.25">
      <c r="B172" s="805" t="s">
        <v>131</v>
      </c>
      <c r="C172" s="5" t="s">
        <v>318</v>
      </c>
      <c r="F172" s="263">
        <v>0</v>
      </c>
      <c r="G172" s="267" t="e">
        <f>F172/$C$45</f>
        <v>#DIV/0!</v>
      </c>
      <c r="H172" s="34"/>
      <c r="I172" s="41"/>
    </row>
    <row r="173" spans="2:9" x14ac:dyDescent="0.25">
      <c r="B173" s="805"/>
      <c r="C173" s="5" t="s">
        <v>319</v>
      </c>
      <c r="F173" s="263">
        <v>0</v>
      </c>
      <c r="G173" s="267" t="e">
        <f>F173/$C$45</f>
        <v>#DIV/0!</v>
      </c>
      <c r="H173" s="34" t="str">
        <f>IF(F173&gt;0,"'Other' Detail","")</f>
        <v/>
      </c>
      <c r="I173" s="198"/>
    </row>
    <row r="174" spans="2:9" x14ac:dyDescent="0.25">
      <c r="B174" s="805"/>
      <c r="C174" s="5" t="s">
        <v>320</v>
      </c>
      <c r="F174" s="263">
        <v>0</v>
      </c>
      <c r="G174" s="267" t="e">
        <f>F174/$C$45</f>
        <v>#DIV/0!</v>
      </c>
      <c r="H174" s="34" t="str">
        <f>IF(F174&gt;0,"'Other' Detail","")</f>
        <v/>
      </c>
      <c r="I174" s="198"/>
    </row>
    <row r="175" spans="2:9" x14ac:dyDescent="0.25">
      <c r="B175" s="805"/>
      <c r="C175" s="5" t="s">
        <v>322</v>
      </c>
      <c r="F175" s="263">
        <v>0</v>
      </c>
      <c r="G175" s="267" t="e">
        <f>F175/$C$45</f>
        <v>#DIV/0!</v>
      </c>
      <c r="H175" s="34" t="str">
        <f>IF(F175&gt;0,"'Other' Detail","")</f>
        <v/>
      </c>
      <c r="I175" s="198"/>
    </row>
    <row r="176" spans="2:9" x14ac:dyDescent="0.25">
      <c r="B176" s="805"/>
      <c r="E176" s="37" t="s">
        <v>321</v>
      </c>
      <c r="F176" s="283">
        <f>SUM(F172:F175)</f>
        <v>0</v>
      </c>
      <c r="G176" s="283" t="e">
        <f>SUM(G172:G175)</f>
        <v>#DIV/0!</v>
      </c>
    </row>
    <row r="177" spans="1:12" x14ac:dyDescent="0.25">
      <c r="F177" s="284"/>
      <c r="G177" s="284"/>
      <c r="I177" s="41"/>
    </row>
    <row r="178" spans="1:12" x14ac:dyDescent="0.25">
      <c r="E178" s="37" t="s">
        <v>323</v>
      </c>
      <c r="F178" s="283">
        <f>F176+F170+F158+F139+F130</f>
        <v>0</v>
      </c>
      <c r="G178" s="283" t="e">
        <f>G176+G170+G158+G139+G130</f>
        <v>#DIV/0!</v>
      </c>
      <c r="I178" s="41"/>
    </row>
    <row r="179" spans="1:12" x14ac:dyDescent="0.25">
      <c r="F179" s="284"/>
      <c r="G179" s="284"/>
      <c r="I179" s="41"/>
    </row>
    <row r="180" spans="1:12" x14ac:dyDescent="0.25">
      <c r="E180" s="37" t="s">
        <v>324</v>
      </c>
      <c r="F180" s="283">
        <f>F111-F178</f>
        <v>0</v>
      </c>
      <c r="G180" s="283" t="e">
        <f>G111-G178</f>
        <v>#DIV/0!</v>
      </c>
      <c r="I180" s="41"/>
    </row>
    <row r="181" spans="1:12" x14ac:dyDescent="0.25">
      <c r="E181" s="37"/>
      <c r="I181" s="41"/>
    </row>
    <row r="182" spans="1:12" x14ac:dyDescent="0.25">
      <c r="C182" s="19" t="s">
        <v>543</v>
      </c>
      <c r="E182" s="37"/>
    </row>
    <row r="183" spans="1:12" ht="68.25" customHeight="1" x14ac:dyDescent="0.25">
      <c r="C183" s="748"/>
      <c r="D183" s="749"/>
      <c r="E183" s="749"/>
      <c r="F183" s="749"/>
      <c r="G183" s="749"/>
      <c r="H183" s="749"/>
      <c r="I183" s="749"/>
      <c r="J183" s="750"/>
    </row>
    <row r="185" spans="1:12" ht="24.9" customHeight="1" x14ac:dyDescent="0.25">
      <c r="A185" s="464" t="s">
        <v>332</v>
      </c>
    </row>
    <row r="186" spans="1:12" ht="14.25" customHeight="1" x14ac:dyDescent="0.25">
      <c r="C186" s="763" t="s">
        <v>333</v>
      </c>
      <c r="D186" s="764"/>
      <c r="E186" s="725"/>
      <c r="F186" s="725"/>
      <c r="G186" s="725"/>
      <c r="H186" s="725"/>
      <c r="I186" s="725"/>
    </row>
    <row r="188" spans="1:12" x14ac:dyDescent="0.25">
      <c r="C188" s="23" t="s">
        <v>340</v>
      </c>
      <c r="D188" s="15" t="s">
        <v>234</v>
      </c>
      <c r="E188" s="15" t="s">
        <v>189</v>
      </c>
      <c r="F188" s="15" t="s">
        <v>190</v>
      </c>
      <c r="G188" s="15" t="s">
        <v>191</v>
      </c>
      <c r="H188" s="15" t="s">
        <v>233</v>
      </c>
      <c r="I188" s="15" t="s">
        <v>339</v>
      </c>
    </row>
    <row r="189" spans="1:12" x14ac:dyDescent="0.25">
      <c r="C189" s="26" t="s">
        <v>334</v>
      </c>
      <c r="D189" s="145"/>
      <c r="E189" s="145"/>
      <c r="F189" s="145"/>
      <c r="G189" s="145"/>
      <c r="H189" s="145"/>
      <c r="I189" s="145"/>
    </row>
    <row r="190" spans="1:12" x14ac:dyDescent="0.25">
      <c r="C190" s="26" t="s">
        <v>335</v>
      </c>
      <c r="D190" s="145"/>
      <c r="E190" s="145"/>
      <c r="F190" s="145"/>
      <c r="G190" s="145"/>
      <c r="H190" s="145"/>
      <c r="I190" s="145"/>
      <c r="K190" s="138"/>
      <c r="L190" s="138"/>
    </row>
    <row r="191" spans="1:12" x14ac:dyDescent="0.25">
      <c r="C191" s="26" t="s">
        <v>336</v>
      </c>
      <c r="D191" s="145"/>
      <c r="E191" s="145"/>
      <c r="F191" s="145"/>
      <c r="G191" s="145"/>
      <c r="H191" s="145"/>
      <c r="I191" s="145"/>
      <c r="K191" s="138"/>
      <c r="L191" s="138"/>
    </row>
    <row r="192" spans="1:12" x14ac:dyDescent="0.25">
      <c r="C192" s="26" t="s">
        <v>337</v>
      </c>
      <c r="D192" s="145"/>
      <c r="E192" s="145"/>
      <c r="F192" s="145"/>
      <c r="G192" s="145"/>
      <c r="H192" s="145"/>
      <c r="I192" s="145"/>
    </row>
    <row r="193" spans="1:18" x14ac:dyDescent="0.25">
      <c r="C193" s="26" t="s">
        <v>338</v>
      </c>
      <c r="D193" s="145"/>
      <c r="E193" s="145"/>
      <c r="F193" s="145"/>
      <c r="G193" s="145"/>
      <c r="H193" s="145"/>
      <c r="I193" s="145"/>
    </row>
    <row r="194" spans="1:18" x14ac:dyDescent="0.25">
      <c r="C194" s="26" t="s">
        <v>131</v>
      </c>
      <c r="D194" s="145"/>
      <c r="E194" s="145"/>
      <c r="F194" s="145"/>
      <c r="G194" s="145"/>
      <c r="H194" s="145"/>
      <c r="I194" s="145"/>
      <c r="J194" s="5" t="str">
        <f>IF(SUM(D194:I194)&gt;0,"'Other' Detail","")</f>
        <v/>
      </c>
      <c r="K194" s="776" t="s">
        <v>1282</v>
      </c>
      <c r="L194" s="777"/>
    </row>
    <row r="195" spans="1:18" x14ac:dyDescent="0.25">
      <c r="C195" s="38" t="s">
        <v>151</v>
      </c>
      <c r="D195" s="39">
        <f t="shared" ref="D195:I195" si="10">SUM(D189:D194)</f>
        <v>0</v>
      </c>
      <c r="E195" s="39">
        <f t="shared" si="10"/>
        <v>0</v>
      </c>
      <c r="F195" s="39">
        <f t="shared" si="10"/>
        <v>0</v>
      </c>
      <c r="G195" s="39">
        <f t="shared" si="10"/>
        <v>0</v>
      </c>
      <c r="H195" s="39">
        <f t="shared" si="10"/>
        <v>0</v>
      </c>
      <c r="I195" s="39">
        <f t="shared" si="10"/>
        <v>0</v>
      </c>
      <c r="K195" s="30">
        <f>SUM(D195:I195)</f>
        <v>0</v>
      </c>
      <c r="L195" s="16" t="str">
        <f>IF(K195=0,"Yes","No")</f>
        <v>Yes</v>
      </c>
    </row>
    <row r="196" spans="1:18" ht="26.25" customHeight="1" x14ac:dyDescent="0.25"/>
    <row r="197" spans="1:18" x14ac:dyDescent="0.25">
      <c r="C197" s="23" t="s">
        <v>341</v>
      </c>
      <c r="D197" s="15" t="s">
        <v>234</v>
      </c>
      <c r="E197" s="15" t="s">
        <v>189</v>
      </c>
      <c r="F197" s="15" t="s">
        <v>190</v>
      </c>
      <c r="G197" s="15" t="s">
        <v>191</v>
      </c>
      <c r="H197" s="15" t="s">
        <v>233</v>
      </c>
      <c r="I197" s="15" t="s">
        <v>339</v>
      </c>
    </row>
    <row r="198" spans="1:18" x14ac:dyDescent="0.25">
      <c r="C198" s="26" t="s">
        <v>334</v>
      </c>
      <c r="D198" s="145"/>
      <c r="E198" s="145"/>
      <c r="F198" s="145"/>
      <c r="G198" s="145"/>
      <c r="H198" s="145"/>
      <c r="I198" s="145"/>
    </row>
    <row r="199" spans="1:18" x14ac:dyDescent="0.25">
      <c r="C199" s="26" t="s">
        <v>335</v>
      </c>
      <c r="D199" s="145"/>
      <c r="E199" s="145"/>
      <c r="F199" s="145"/>
      <c r="G199" s="145"/>
      <c r="H199" s="145"/>
      <c r="I199" s="145"/>
    </row>
    <row r="200" spans="1:18" x14ac:dyDescent="0.25">
      <c r="C200" s="26" t="s">
        <v>336</v>
      </c>
      <c r="D200" s="145"/>
      <c r="E200" s="145"/>
      <c r="F200" s="145"/>
      <c r="G200" s="145"/>
      <c r="H200" s="145"/>
      <c r="I200" s="145"/>
    </row>
    <row r="201" spans="1:18" x14ac:dyDescent="0.25">
      <c r="C201" s="26" t="s">
        <v>337</v>
      </c>
      <c r="D201" s="145"/>
      <c r="E201" s="145"/>
      <c r="F201" s="145"/>
      <c r="G201" s="145"/>
      <c r="H201" s="145"/>
      <c r="I201" s="145"/>
    </row>
    <row r="202" spans="1:18" x14ac:dyDescent="0.25">
      <c r="C202" s="26" t="s">
        <v>338</v>
      </c>
      <c r="D202" s="145"/>
      <c r="E202" s="145"/>
      <c r="F202" s="145"/>
      <c r="G202" s="145"/>
      <c r="H202" s="145"/>
      <c r="I202" s="145"/>
    </row>
    <row r="203" spans="1:18" x14ac:dyDescent="0.25">
      <c r="C203" s="26" t="s">
        <v>131</v>
      </c>
      <c r="D203" s="145"/>
      <c r="E203" s="145"/>
      <c r="F203" s="145"/>
      <c r="G203" s="145"/>
      <c r="H203" s="145"/>
      <c r="I203" s="145"/>
      <c r="J203" t="str">
        <f>IF(SUM(D203:I203)&gt;0,"'Other' Detail","")</f>
        <v/>
      </c>
      <c r="K203" s="198"/>
    </row>
    <row r="204" spans="1:18" x14ac:dyDescent="0.25">
      <c r="C204" s="38" t="s">
        <v>151</v>
      </c>
      <c r="D204" s="39">
        <f t="shared" ref="D204:I204" si="11">SUM(D198:D203)</f>
        <v>0</v>
      </c>
      <c r="E204" s="39">
        <f t="shared" si="11"/>
        <v>0</v>
      </c>
      <c r="F204" s="39">
        <f t="shared" si="11"/>
        <v>0</v>
      </c>
      <c r="G204" s="39">
        <f t="shared" si="11"/>
        <v>0</v>
      </c>
      <c r="H204" s="39">
        <f t="shared" si="11"/>
        <v>0</v>
      </c>
      <c r="I204" s="39">
        <f t="shared" si="11"/>
        <v>0</v>
      </c>
    </row>
    <row r="206" spans="1:18" ht="24.9" customHeight="1" x14ac:dyDescent="0.25">
      <c r="A206" s="464" t="s">
        <v>342</v>
      </c>
    </row>
    <row r="207" spans="1:18" s="142" customFormat="1" ht="36" customHeight="1" x14ac:dyDescent="0.25">
      <c r="A207" s="20"/>
      <c r="B207" s="20"/>
      <c r="C207" s="770" t="s">
        <v>7893</v>
      </c>
      <c r="D207" s="772"/>
      <c r="E207" s="770" t="s">
        <v>7891</v>
      </c>
      <c r="F207" s="772"/>
      <c r="G207" s="52" t="s">
        <v>348</v>
      </c>
      <c r="H207" s="52" t="s">
        <v>350</v>
      </c>
      <c r="I207" s="52" t="s">
        <v>349</v>
      </c>
      <c r="J207" s="52" t="s">
        <v>351</v>
      </c>
      <c r="K207" s="52" t="s">
        <v>544</v>
      </c>
      <c r="L207" s="20"/>
      <c r="M207" s="5"/>
      <c r="N207" s="5"/>
      <c r="O207" s="5"/>
      <c r="P207" s="20"/>
      <c r="Q207" s="20"/>
      <c r="R207" s="20"/>
    </row>
    <row r="208" spans="1:18" x14ac:dyDescent="0.25">
      <c r="C208" s="765" t="s">
        <v>345</v>
      </c>
      <c r="D208" s="766"/>
      <c r="E208" s="774"/>
      <c r="F208" s="775"/>
      <c r="G208" s="278">
        <v>0</v>
      </c>
      <c r="H208" s="147"/>
      <c r="I208" s="250">
        <f>IF(H208&gt;0,(H208*G208),0)</f>
        <v>0</v>
      </c>
      <c r="J208" s="148"/>
      <c r="K208" s="148"/>
      <c r="M208" s="20"/>
      <c r="N208" s="20"/>
      <c r="O208" s="20"/>
    </row>
    <row r="209" spans="1:18" x14ac:dyDescent="0.25">
      <c r="C209" s="765" t="s">
        <v>1604</v>
      </c>
      <c r="D209" s="766"/>
      <c r="E209" s="774"/>
      <c r="F209" s="775"/>
      <c r="G209" s="278">
        <v>0</v>
      </c>
      <c r="H209" s="402"/>
      <c r="I209" s="403"/>
      <c r="J209" s="404"/>
      <c r="K209" s="404"/>
    </row>
    <row r="210" spans="1:18" x14ac:dyDescent="0.25">
      <c r="C210" s="765" t="s">
        <v>347</v>
      </c>
      <c r="D210" s="766"/>
      <c r="E210" s="774"/>
      <c r="F210" s="775"/>
      <c r="G210" s="278">
        <v>0</v>
      </c>
      <c r="H210" s="147"/>
      <c r="I210" s="250">
        <f t="shared" ref="I210:I216" si="12">IF(H210&gt;0,(H210*G210),0)</f>
        <v>0</v>
      </c>
      <c r="J210" s="149"/>
      <c r="K210" s="149"/>
    </row>
    <row r="211" spans="1:18" x14ac:dyDescent="0.25">
      <c r="C211" s="765" t="s">
        <v>346</v>
      </c>
      <c r="D211" s="766"/>
      <c r="E211" s="774"/>
      <c r="F211" s="775"/>
      <c r="G211" s="278">
        <v>0</v>
      </c>
      <c r="H211" s="402"/>
      <c r="I211" s="403"/>
      <c r="J211" s="404"/>
      <c r="K211" s="404"/>
      <c r="L211" s="5" t="str">
        <f>IF(G211&gt;0,"Residential Portion","")</f>
        <v/>
      </c>
      <c r="M211" s="198"/>
      <c r="N211" s="198"/>
      <c r="O211" s="198"/>
    </row>
    <row r="212" spans="1:18" x14ac:dyDescent="0.25">
      <c r="C212" s="765" t="s">
        <v>1006</v>
      </c>
      <c r="D212" s="766"/>
      <c r="E212" s="774"/>
      <c r="F212" s="775"/>
      <c r="G212" s="278">
        <v>0</v>
      </c>
      <c r="H212" s="147"/>
      <c r="I212" s="250">
        <f t="shared" si="12"/>
        <v>0</v>
      </c>
      <c r="J212" s="148"/>
      <c r="K212" s="148"/>
    </row>
    <row r="213" spans="1:18" x14ac:dyDescent="0.25">
      <c r="C213" s="765" t="s">
        <v>1007</v>
      </c>
      <c r="D213" s="766"/>
      <c r="E213" s="774"/>
      <c r="F213" s="775"/>
      <c r="G213" s="278">
        <v>0</v>
      </c>
      <c r="H213" s="147"/>
      <c r="I213" s="250">
        <f t="shared" si="12"/>
        <v>0</v>
      </c>
      <c r="J213" s="148"/>
      <c r="K213" s="148"/>
    </row>
    <row r="214" spans="1:18" x14ac:dyDescent="0.25">
      <c r="C214" s="765" t="s">
        <v>1008</v>
      </c>
      <c r="D214" s="766"/>
      <c r="E214" s="774"/>
      <c r="F214" s="775"/>
      <c r="G214" s="278">
        <v>0</v>
      </c>
      <c r="H214" s="147"/>
      <c r="I214" s="250">
        <f t="shared" si="12"/>
        <v>0</v>
      </c>
      <c r="J214" s="148"/>
      <c r="K214" s="148"/>
    </row>
    <row r="215" spans="1:18" x14ac:dyDescent="0.25">
      <c r="C215" s="765" t="s">
        <v>1009</v>
      </c>
      <c r="D215" s="766"/>
      <c r="E215" s="774"/>
      <c r="F215" s="775"/>
      <c r="G215" s="278">
        <v>0</v>
      </c>
      <c r="H215" s="147"/>
      <c r="I215" s="250">
        <f t="shared" si="12"/>
        <v>0</v>
      </c>
      <c r="J215" s="148"/>
      <c r="K215" s="148"/>
    </row>
    <row r="216" spans="1:18" x14ac:dyDescent="0.25">
      <c r="C216" s="765" t="s">
        <v>1010</v>
      </c>
      <c r="D216" s="766"/>
      <c r="E216" s="774"/>
      <c r="F216" s="775"/>
      <c r="G216" s="278">
        <v>0</v>
      </c>
      <c r="H216" s="147"/>
      <c r="I216" s="250">
        <f t="shared" si="12"/>
        <v>0</v>
      </c>
      <c r="J216" s="148"/>
      <c r="K216" s="148"/>
    </row>
    <row r="217" spans="1:18" x14ac:dyDescent="0.25">
      <c r="F217" s="34" t="s">
        <v>153</v>
      </c>
      <c r="G217" s="279">
        <f>SUM(G208:G216)</f>
        <v>0</v>
      </c>
      <c r="I217" s="40">
        <f>SUM(I208:I216)</f>
        <v>0</v>
      </c>
    </row>
    <row r="218" spans="1:18" x14ac:dyDescent="0.25">
      <c r="F218" s="34" t="s">
        <v>1094</v>
      </c>
      <c r="G218" s="9">
        <f>COUNTIF(G208:G216,"&gt;0")</f>
        <v>0</v>
      </c>
    </row>
    <row r="219" spans="1:18" x14ac:dyDescent="0.25">
      <c r="F219" s="34"/>
      <c r="G219" s="34"/>
    </row>
    <row r="220" spans="1:18" s="143" customFormat="1" ht="24.9" customHeight="1" x14ac:dyDescent="0.25">
      <c r="A220" s="464" t="s">
        <v>352</v>
      </c>
      <c r="B220" s="134"/>
      <c r="C220" s="134"/>
      <c r="D220" s="134"/>
      <c r="E220" s="134"/>
      <c r="F220" s="134"/>
      <c r="G220" s="134"/>
      <c r="H220" s="134"/>
      <c r="I220" s="134"/>
      <c r="J220" s="134"/>
      <c r="K220" s="472"/>
      <c r="L220" s="134"/>
      <c r="M220" s="134"/>
      <c r="N220" s="134"/>
      <c r="O220" s="134"/>
      <c r="P220" s="134"/>
      <c r="Q220" s="134"/>
      <c r="R220" s="134"/>
    </row>
    <row r="221" spans="1:18" ht="49.5" customHeight="1" x14ac:dyDescent="0.25">
      <c r="A221" s="773" t="s">
        <v>1182</v>
      </c>
      <c r="B221" s="773"/>
      <c r="C221" s="773"/>
      <c r="D221" s="773"/>
      <c r="E221" s="773"/>
      <c r="F221" s="773"/>
      <c r="G221" s="773"/>
      <c r="H221" s="773"/>
      <c r="I221" s="773"/>
      <c r="J221" s="773"/>
      <c r="K221" s="773"/>
    </row>
    <row r="223" spans="1:18" x14ac:dyDescent="0.25">
      <c r="C223" s="5" t="s">
        <v>354</v>
      </c>
      <c r="E223" s="150"/>
      <c r="G223" s="5" t="str">
        <f>IF(E223="Yes","Amount of soft subordinate debt to be restructured","")</f>
        <v/>
      </c>
      <c r="J223" s="198"/>
    </row>
    <row r="224" spans="1:18" x14ac:dyDescent="0.25">
      <c r="C224" s="5" t="s">
        <v>1130</v>
      </c>
      <c r="E224" s="150"/>
      <c r="G224" s="138"/>
    </row>
    <row r="225" spans="3:19" x14ac:dyDescent="0.25">
      <c r="C225" s="138"/>
      <c r="G225" s="138"/>
    </row>
    <row r="226" spans="3:19" x14ac:dyDescent="0.25">
      <c r="C226" s="19" t="s">
        <v>355</v>
      </c>
      <c r="E226" s="37"/>
    </row>
    <row r="227" spans="3:19" ht="60.75" customHeight="1" x14ac:dyDescent="0.25">
      <c r="C227" s="748"/>
      <c r="D227" s="749"/>
      <c r="E227" s="749"/>
      <c r="F227" s="749"/>
      <c r="G227" s="749"/>
      <c r="H227" s="749"/>
      <c r="I227" s="749"/>
      <c r="J227" s="750"/>
    </row>
    <row r="229" spans="3:19" x14ac:dyDescent="0.25">
      <c r="C229" s="19" t="s">
        <v>556</v>
      </c>
      <c r="E229" s="37"/>
    </row>
    <row r="230" spans="3:19" ht="60.75" customHeight="1" x14ac:dyDescent="0.25">
      <c r="C230" s="748"/>
      <c r="D230" s="749"/>
      <c r="E230" s="749"/>
      <c r="F230" s="749"/>
      <c r="G230" s="749"/>
      <c r="H230" s="749"/>
      <c r="I230" s="749"/>
      <c r="J230" s="750"/>
    </row>
    <row r="232" spans="3:19" ht="28.5" customHeight="1" x14ac:dyDescent="0.25">
      <c r="C232" s="770" t="s">
        <v>1649</v>
      </c>
      <c r="D232" s="771"/>
      <c r="E232" s="772"/>
      <c r="F232" s="365" t="s">
        <v>550</v>
      </c>
      <c r="G232" s="365" t="s">
        <v>551</v>
      </c>
      <c r="H232" s="365" t="s">
        <v>552</v>
      </c>
    </row>
    <row r="233" spans="3:19" ht="30" customHeight="1" x14ac:dyDescent="0.25">
      <c r="C233" s="745" t="s">
        <v>934</v>
      </c>
      <c r="D233" s="746"/>
      <c r="E233" s="747"/>
      <c r="F233" s="151"/>
      <c r="G233" s="151"/>
      <c r="H233" s="151"/>
    </row>
    <row r="234" spans="3:19" ht="14.25" customHeight="1" x14ac:dyDescent="0.25">
      <c r="C234" s="745" t="s">
        <v>1650</v>
      </c>
      <c r="D234" s="746"/>
      <c r="E234" s="747"/>
      <c r="F234" s="146"/>
      <c r="G234" s="146"/>
      <c r="H234" s="146"/>
    </row>
    <row r="236" spans="3:19" ht="41.4" x14ac:dyDescent="0.25">
      <c r="C236" s="770" t="s">
        <v>7892</v>
      </c>
      <c r="D236" s="772"/>
      <c r="E236" s="770" t="s">
        <v>7891</v>
      </c>
      <c r="F236" s="772"/>
      <c r="G236" s="52" t="s">
        <v>348</v>
      </c>
      <c r="H236" s="52" t="s">
        <v>350</v>
      </c>
      <c r="I236" s="52" t="s">
        <v>1002</v>
      </c>
      <c r="J236" s="52" t="s">
        <v>686</v>
      </c>
      <c r="K236" s="52" t="s">
        <v>1024</v>
      </c>
      <c r="L236" s="52" t="s">
        <v>1283</v>
      </c>
      <c r="M236" s="52" t="s">
        <v>1028</v>
      </c>
      <c r="N236" s="588"/>
      <c r="O236" s="588"/>
      <c r="S236" s="5"/>
    </row>
    <row r="237" spans="3:19" x14ac:dyDescent="0.25">
      <c r="C237" s="765" t="s">
        <v>1604</v>
      </c>
      <c r="D237" s="766"/>
      <c r="E237" s="774"/>
      <c r="F237" s="775"/>
      <c r="G237" s="278">
        <v>0</v>
      </c>
      <c r="H237" s="402"/>
      <c r="I237" s="403"/>
      <c r="J237" s="404"/>
      <c r="K237" s="666"/>
      <c r="L237" s="667"/>
      <c r="M237" s="148"/>
      <c r="N237" s="589"/>
      <c r="O237" s="589"/>
      <c r="S237" s="5"/>
    </row>
    <row r="238" spans="3:19" x14ac:dyDescent="0.25">
      <c r="C238" s="765" t="s">
        <v>7890</v>
      </c>
      <c r="D238" s="766"/>
      <c r="E238" s="774"/>
      <c r="F238" s="775"/>
      <c r="G238" s="278">
        <v>0</v>
      </c>
      <c r="H238" s="402"/>
      <c r="I238" s="403"/>
      <c r="J238" s="404"/>
      <c r="K238" s="404"/>
      <c r="L238" s="667"/>
      <c r="M238" s="148"/>
      <c r="N238" s="589"/>
      <c r="O238" s="589"/>
      <c r="P238" s="5" t="str">
        <f>IF(G238&gt;0,"Residential Amt","")</f>
        <v/>
      </c>
      <c r="Q238" s="198"/>
      <c r="S238" s="5"/>
    </row>
    <row r="239" spans="3:19" x14ac:dyDescent="0.25">
      <c r="C239" s="765" t="s">
        <v>347</v>
      </c>
      <c r="D239" s="766"/>
      <c r="E239" s="774"/>
      <c r="F239" s="775"/>
      <c r="G239" s="278">
        <v>0</v>
      </c>
      <c r="H239" s="147">
        <v>0</v>
      </c>
      <c r="I239" s="250">
        <f t="shared" ref="I239:I246" si="13">IFERROR(IF(G239&gt;0,(-PMT(H239/12,K239*12,G239))*12,(0)),0)</f>
        <v>0</v>
      </c>
      <c r="J239" s="148"/>
      <c r="K239" s="148"/>
      <c r="L239" s="224"/>
      <c r="M239" s="148"/>
      <c r="N239" s="589"/>
      <c r="O239" s="589"/>
      <c r="P239" s="77" t="str">
        <f>IF(AND(G239&gt;0,K239=""),"AmTerm Cannot be Zero on Hard Debt","")</f>
        <v/>
      </c>
      <c r="S239" s="5"/>
    </row>
    <row r="240" spans="3:19" x14ac:dyDescent="0.25">
      <c r="C240" s="765" t="s">
        <v>852</v>
      </c>
      <c r="D240" s="766"/>
      <c r="E240" s="774"/>
      <c r="F240" s="775"/>
      <c r="G240" s="278">
        <v>0</v>
      </c>
      <c r="H240" s="147">
        <v>0</v>
      </c>
      <c r="I240" s="676">
        <f t="shared" si="13"/>
        <v>0</v>
      </c>
      <c r="J240" s="148"/>
      <c r="K240" s="148"/>
      <c r="L240" s="224"/>
      <c r="M240" s="148"/>
      <c r="N240" s="589"/>
      <c r="O240" s="589"/>
      <c r="P240" s="77" t="str">
        <f>IF(AND(G240&gt;0,K240=""),"AmTerm Cannot be Zero on Hard Debt","")</f>
        <v/>
      </c>
      <c r="S240" s="5"/>
    </row>
    <row r="241" spans="1:19" x14ac:dyDescent="0.25">
      <c r="C241" s="765" t="s">
        <v>353</v>
      </c>
      <c r="D241" s="766"/>
      <c r="E241" s="774"/>
      <c r="F241" s="775"/>
      <c r="G241" s="278">
        <v>0</v>
      </c>
      <c r="H241" s="147">
        <v>0</v>
      </c>
      <c r="I241" s="676">
        <f t="shared" si="13"/>
        <v>0</v>
      </c>
      <c r="J241" s="148"/>
      <c r="K241" s="148"/>
      <c r="L241" s="224" t="s">
        <v>26</v>
      </c>
      <c r="M241" s="148"/>
      <c r="N241" s="589"/>
      <c r="O241" s="589"/>
      <c r="P241" s="77" t="str">
        <f>IF(AND(G241&gt;0,K241=""),"AmTerm Cannot be Zero on Hard Debt","")</f>
        <v/>
      </c>
      <c r="S241" s="5"/>
    </row>
    <row r="242" spans="1:19" x14ac:dyDescent="0.25">
      <c r="C242" s="649" t="s">
        <v>319</v>
      </c>
      <c r="D242" s="650"/>
      <c r="E242" s="774"/>
      <c r="F242" s="775"/>
      <c r="G242" s="278">
        <v>0</v>
      </c>
      <c r="H242" s="147">
        <v>0</v>
      </c>
      <c r="I242" s="676">
        <f t="shared" si="13"/>
        <v>0</v>
      </c>
      <c r="J242" s="148"/>
      <c r="K242" s="148"/>
      <c r="L242" s="224" t="s">
        <v>26</v>
      </c>
      <c r="M242" s="148"/>
      <c r="N242" s="589"/>
      <c r="O242" s="589"/>
      <c r="S242" s="5"/>
    </row>
    <row r="243" spans="1:19" x14ac:dyDescent="0.25">
      <c r="C243" s="649" t="s">
        <v>320</v>
      </c>
      <c r="D243" s="650"/>
      <c r="E243" s="774"/>
      <c r="F243" s="775"/>
      <c r="G243" s="278">
        <v>0</v>
      </c>
      <c r="H243" s="147">
        <v>0</v>
      </c>
      <c r="I243" s="676">
        <f t="shared" si="13"/>
        <v>0</v>
      </c>
      <c r="J243" s="148"/>
      <c r="K243" s="148"/>
      <c r="L243" s="224"/>
      <c r="M243" s="148"/>
      <c r="N243" s="589"/>
      <c r="O243" s="589"/>
      <c r="S243" s="5"/>
    </row>
    <row r="244" spans="1:19" x14ac:dyDescent="0.25">
      <c r="C244" s="649" t="s">
        <v>322</v>
      </c>
      <c r="D244" s="650"/>
      <c r="E244" s="774"/>
      <c r="F244" s="775"/>
      <c r="G244" s="278">
        <v>0</v>
      </c>
      <c r="H244" s="147">
        <v>0</v>
      </c>
      <c r="I244" s="676">
        <f t="shared" si="13"/>
        <v>0</v>
      </c>
      <c r="J244" s="148"/>
      <c r="K244" s="148"/>
      <c r="L244" s="224"/>
      <c r="M244" s="148"/>
      <c r="N244" s="589"/>
      <c r="O244" s="589"/>
      <c r="S244" s="5"/>
    </row>
    <row r="245" spans="1:19" x14ac:dyDescent="0.25">
      <c r="C245" s="649" t="s">
        <v>555</v>
      </c>
      <c r="D245" s="650"/>
      <c r="E245" s="774"/>
      <c r="F245" s="775"/>
      <c r="G245" s="278">
        <v>0</v>
      </c>
      <c r="H245" s="147">
        <v>0</v>
      </c>
      <c r="I245" s="676">
        <f t="shared" si="13"/>
        <v>0</v>
      </c>
      <c r="J245" s="148"/>
      <c r="K245" s="148"/>
      <c r="L245" s="224"/>
      <c r="M245" s="148"/>
      <c r="N245" s="589"/>
      <c r="O245" s="589"/>
      <c r="S245" s="5"/>
    </row>
    <row r="246" spans="1:19" x14ac:dyDescent="0.25">
      <c r="C246" s="649" t="s">
        <v>904</v>
      </c>
      <c r="D246" s="650"/>
      <c r="E246" s="774"/>
      <c r="F246" s="775"/>
      <c r="G246" s="278">
        <v>0</v>
      </c>
      <c r="H246" s="147">
        <v>0</v>
      </c>
      <c r="I246" s="676">
        <f t="shared" si="13"/>
        <v>0</v>
      </c>
      <c r="J246" s="148"/>
      <c r="K246" s="148"/>
      <c r="L246" s="224"/>
      <c r="M246" s="148"/>
      <c r="N246" s="589"/>
      <c r="O246" s="589"/>
      <c r="S246" s="5"/>
    </row>
    <row r="247" spans="1:19" x14ac:dyDescent="0.25">
      <c r="G247" s="279">
        <f>SUM(G237:G246)</f>
        <v>0</v>
      </c>
      <c r="I247" s="40">
        <f>SUM(I237:I246)</f>
        <v>0</v>
      </c>
    </row>
    <row r="249" spans="1:19" s="143" customFormat="1" ht="24.9" customHeight="1" x14ac:dyDescent="0.25">
      <c r="A249" s="465" t="s">
        <v>356</v>
      </c>
      <c r="B249" s="134"/>
      <c r="C249" s="134"/>
      <c r="D249" s="134"/>
      <c r="E249" s="134"/>
      <c r="F249" s="820"/>
      <c r="G249" s="820"/>
      <c r="H249" s="820"/>
      <c r="I249" s="134"/>
      <c r="J249" s="134"/>
      <c r="K249" s="134"/>
      <c r="L249" s="134"/>
      <c r="M249" s="134"/>
      <c r="N249" s="134"/>
      <c r="O249" s="134"/>
      <c r="P249" s="134"/>
      <c r="Q249" s="134"/>
      <c r="R249" s="134"/>
    </row>
    <row r="250" spans="1:19" s="158" customFormat="1" ht="30" customHeight="1" x14ac:dyDescent="0.3">
      <c r="A250" s="6"/>
      <c r="B250" s="57"/>
      <c r="C250" s="767" t="s">
        <v>995</v>
      </c>
      <c r="D250" s="768"/>
      <c r="E250" s="769"/>
      <c r="F250" s="52" t="s">
        <v>357</v>
      </c>
      <c r="G250" s="52" t="s">
        <v>170</v>
      </c>
      <c r="H250" s="52" t="s">
        <v>169</v>
      </c>
      <c r="I250" s="52" t="s">
        <v>993</v>
      </c>
      <c r="J250" s="52" t="s">
        <v>898</v>
      </c>
      <c r="K250" s="52" t="s">
        <v>994</v>
      </c>
      <c r="L250" s="52" t="s">
        <v>900</v>
      </c>
      <c r="M250" s="5"/>
      <c r="N250" s="5"/>
      <c r="O250" s="5"/>
      <c r="P250" s="5"/>
      <c r="Q250" s="5"/>
      <c r="R250" s="5"/>
    </row>
    <row r="251" spans="1:19" ht="15" customHeight="1" x14ac:dyDescent="0.3">
      <c r="A251" s="6"/>
      <c r="B251" s="792" t="s">
        <v>357</v>
      </c>
      <c r="C251" s="700" t="s">
        <v>358</v>
      </c>
      <c r="D251" s="701"/>
      <c r="E251" s="702"/>
      <c r="F251" s="261"/>
      <c r="G251" s="262"/>
      <c r="H251" s="262"/>
      <c r="I251" s="263"/>
      <c r="J251" s="267">
        <f>SUM(F251:H251)</f>
        <v>0</v>
      </c>
      <c r="K251" s="267">
        <f>J251+I251</f>
        <v>0</v>
      </c>
      <c r="L251" s="267">
        <f>Q332</f>
        <v>0</v>
      </c>
      <c r="M251" s="109" t="str">
        <f>IF(L251&lt;&gt;K251,"Caution: Does Not Match Uses","")</f>
        <v/>
      </c>
      <c r="N251" s="109"/>
      <c r="O251" s="109"/>
    </row>
    <row r="252" spans="1:19" ht="15" customHeight="1" x14ac:dyDescent="0.3">
      <c r="A252" s="6"/>
      <c r="B252" s="793"/>
      <c r="C252" s="700" t="s">
        <v>359</v>
      </c>
      <c r="D252" s="701"/>
      <c r="E252" s="702"/>
      <c r="F252" s="261"/>
      <c r="G252" s="262"/>
      <c r="H252" s="262"/>
      <c r="I252" s="263"/>
      <c r="J252" s="267">
        <f>SUM(F252:H252)</f>
        <v>0</v>
      </c>
      <c r="K252" s="267">
        <f>J252+I252</f>
        <v>0</v>
      </c>
      <c r="L252" s="267">
        <f>Q333</f>
        <v>0</v>
      </c>
      <c r="M252" s="109" t="str">
        <f>IF(L252&lt;&gt;K252,"Caution: Does Not Match Uses","")</f>
        <v/>
      </c>
      <c r="N252" s="109"/>
      <c r="O252" s="109"/>
    </row>
    <row r="253" spans="1:19" ht="15" customHeight="1" x14ac:dyDescent="0.3">
      <c r="A253" s="6"/>
      <c r="B253" s="793"/>
      <c r="C253" s="700" t="s">
        <v>360</v>
      </c>
      <c r="D253" s="701"/>
      <c r="E253" s="702"/>
      <c r="F253" s="264"/>
      <c r="G253" s="262"/>
      <c r="H253" s="262"/>
      <c r="I253" s="263"/>
      <c r="J253" s="267">
        <f>SUM(F253:H253)</f>
        <v>0</v>
      </c>
      <c r="K253" s="267">
        <f>J253+I253</f>
        <v>0</v>
      </c>
      <c r="L253" s="267">
        <f>Q334</f>
        <v>0</v>
      </c>
      <c r="M253" s="109" t="str">
        <f>IF(L253&lt;&gt;K253,"Caution: Does Not Match Uses","")</f>
        <v/>
      </c>
      <c r="N253" s="109"/>
      <c r="O253" s="109"/>
    </row>
    <row r="254" spans="1:19" ht="15" customHeight="1" x14ac:dyDescent="0.3">
      <c r="A254" s="6"/>
      <c r="B254" s="793"/>
      <c r="C254" s="101" t="s">
        <v>914</v>
      </c>
      <c r="D254" s="734"/>
      <c r="E254" s="735"/>
      <c r="F254" s="264"/>
      <c r="G254" s="262"/>
      <c r="H254" s="262"/>
      <c r="I254" s="263"/>
      <c r="J254" s="267">
        <f>SUM(F254:H254)</f>
        <v>0</v>
      </c>
      <c r="K254" s="267">
        <f>J254+I254</f>
        <v>0</v>
      </c>
      <c r="L254" s="267">
        <f>Q335</f>
        <v>0</v>
      </c>
      <c r="M254" s="109" t="str">
        <f>IF(L254&lt;&gt;K254,"Caution: Does Not Match Uses","")</f>
        <v/>
      </c>
      <c r="N254" s="109"/>
      <c r="O254" s="109"/>
    </row>
    <row r="255" spans="1:19" ht="15" customHeight="1" x14ac:dyDescent="0.3">
      <c r="A255" s="6"/>
      <c r="B255" s="794"/>
      <c r="C255" s="101" t="s">
        <v>914</v>
      </c>
      <c r="D255" s="734"/>
      <c r="E255" s="735"/>
      <c r="F255" s="265"/>
      <c r="G255" s="266"/>
      <c r="H255" s="266"/>
      <c r="I255" s="263"/>
      <c r="J255" s="267">
        <f>SUM(F255:H255)</f>
        <v>0</v>
      </c>
      <c r="K255" s="267">
        <f>J255+I255</f>
        <v>0</v>
      </c>
      <c r="L255" s="267">
        <f>Q336</f>
        <v>0</v>
      </c>
      <c r="M255" s="109" t="str">
        <f>IF(L255&lt;&gt;K255,"Caution: Does Not Match Uses","")</f>
        <v/>
      </c>
      <c r="N255" s="109"/>
      <c r="O255" s="109"/>
    </row>
    <row r="256" spans="1:19" ht="15" customHeight="1" x14ac:dyDescent="0.3">
      <c r="A256" s="6"/>
      <c r="B256" s="57"/>
      <c r="C256" s="58"/>
      <c r="D256" s="59"/>
      <c r="E256" s="59"/>
      <c r="F256" s="60"/>
      <c r="G256" s="60"/>
      <c r="H256" s="60"/>
      <c r="I256" s="60"/>
      <c r="J256" s="94"/>
      <c r="K256" s="94"/>
      <c r="L256" s="95"/>
      <c r="M256" s="109"/>
      <c r="N256" s="109"/>
      <c r="O256" s="109"/>
    </row>
    <row r="257" spans="1:15" ht="15" customHeight="1" x14ac:dyDescent="0.3">
      <c r="A257" s="6"/>
      <c r="B257" s="792" t="s">
        <v>820</v>
      </c>
      <c r="C257" s="739" t="s">
        <v>361</v>
      </c>
      <c r="D257" s="740"/>
      <c r="E257" s="741"/>
      <c r="F257" s="264"/>
      <c r="G257" s="263"/>
      <c r="H257" s="263"/>
      <c r="I257" s="263"/>
      <c r="J257" s="267">
        <f t="shared" ref="J257:J265" si="14">SUM(F257:H257)</f>
        <v>0</v>
      </c>
      <c r="K257" s="267">
        <f t="shared" ref="K257:K265" si="15">J257+I257</f>
        <v>0</v>
      </c>
      <c r="L257" s="267">
        <f t="shared" ref="L257:L265" si="16">Q338</f>
        <v>0</v>
      </c>
      <c r="M257" s="109" t="str">
        <f t="shared" ref="M257:M265" si="17">IF(L257&lt;&gt;K257,"Caution: Does Not Match Uses","")</f>
        <v/>
      </c>
      <c r="N257" s="109"/>
      <c r="O257" s="109"/>
    </row>
    <row r="258" spans="1:15" ht="15" customHeight="1" x14ac:dyDescent="0.3">
      <c r="A258" s="6"/>
      <c r="B258" s="793"/>
      <c r="C258" s="739" t="s">
        <v>362</v>
      </c>
      <c r="D258" s="740"/>
      <c r="E258" s="741"/>
      <c r="F258" s="264"/>
      <c r="G258" s="263"/>
      <c r="H258" s="263"/>
      <c r="I258" s="263"/>
      <c r="J258" s="267">
        <f t="shared" si="14"/>
        <v>0</v>
      </c>
      <c r="K258" s="267">
        <f t="shared" si="15"/>
        <v>0</v>
      </c>
      <c r="L258" s="267">
        <f t="shared" si="16"/>
        <v>0</v>
      </c>
      <c r="M258" s="109" t="str">
        <f t="shared" si="17"/>
        <v/>
      </c>
      <c r="N258" s="109"/>
      <c r="O258" s="109"/>
    </row>
    <row r="259" spans="1:15" ht="15" customHeight="1" x14ac:dyDescent="0.3">
      <c r="A259" s="6"/>
      <c r="B259" s="793"/>
      <c r="C259" s="739" t="s">
        <v>363</v>
      </c>
      <c r="D259" s="740"/>
      <c r="E259" s="741"/>
      <c r="F259" s="264"/>
      <c r="G259" s="263"/>
      <c r="H259" s="263"/>
      <c r="I259" s="263"/>
      <c r="J259" s="267">
        <f t="shared" si="14"/>
        <v>0</v>
      </c>
      <c r="K259" s="267">
        <f t="shared" si="15"/>
        <v>0</v>
      </c>
      <c r="L259" s="267">
        <f t="shared" si="16"/>
        <v>0</v>
      </c>
      <c r="M259" s="109" t="str">
        <f t="shared" si="17"/>
        <v/>
      </c>
      <c r="N259" s="109"/>
      <c r="O259" s="109"/>
    </row>
    <row r="260" spans="1:15" ht="15" customHeight="1" x14ac:dyDescent="0.3">
      <c r="A260" s="6"/>
      <c r="B260" s="793"/>
      <c r="C260" s="739" t="s">
        <v>364</v>
      </c>
      <c r="D260" s="740"/>
      <c r="E260" s="741"/>
      <c r="F260" s="264"/>
      <c r="G260" s="263"/>
      <c r="H260" s="263"/>
      <c r="I260" s="263"/>
      <c r="J260" s="267">
        <f t="shared" si="14"/>
        <v>0</v>
      </c>
      <c r="K260" s="267">
        <f t="shared" si="15"/>
        <v>0</v>
      </c>
      <c r="L260" s="267">
        <f t="shared" si="16"/>
        <v>0</v>
      </c>
      <c r="M260" s="109" t="str">
        <f t="shared" si="17"/>
        <v/>
      </c>
      <c r="N260" s="109"/>
      <c r="O260" s="109"/>
    </row>
    <row r="261" spans="1:15" ht="15" customHeight="1" x14ac:dyDescent="0.3">
      <c r="A261" s="6"/>
      <c r="B261" s="793"/>
      <c r="C261" s="739" t="s">
        <v>365</v>
      </c>
      <c r="D261" s="740"/>
      <c r="E261" s="741"/>
      <c r="F261" s="264"/>
      <c r="G261" s="263"/>
      <c r="H261" s="263"/>
      <c r="I261" s="263"/>
      <c r="J261" s="267">
        <f t="shared" si="14"/>
        <v>0</v>
      </c>
      <c r="K261" s="267">
        <f t="shared" si="15"/>
        <v>0</v>
      </c>
      <c r="L261" s="267">
        <f t="shared" si="16"/>
        <v>0</v>
      </c>
      <c r="M261" s="109" t="str">
        <f t="shared" si="17"/>
        <v/>
      </c>
      <c r="N261" s="109"/>
      <c r="O261" s="109"/>
    </row>
    <row r="262" spans="1:15" ht="15" customHeight="1" x14ac:dyDescent="0.3">
      <c r="A262" s="6"/>
      <c r="B262" s="793"/>
      <c r="C262" s="739" t="s">
        <v>366</v>
      </c>
      <c r="D262" s="740"/>
      <c r="E262" s="741"/>
      <c r="F262" s="264"/>
      <c r="G262" s="263"/>
      <c r="H262" s="263"/>
      <c r="I262" s="263"/>
      <c r="J262" s="267">
        <f t="shared" si="14"/>
        <v>0</v>
      </c>
      <c r="K262" s="267">
        <f t="shared" si="15"/>
        <v>0</v>
      </c>
      <c r="L262" s="267">
        <f t="shared" si="16"/>
        <v>0</v>
      </c>
      <c r="M262" s="109" t="str">
        <f t="shared" si="17"/>
        <v/>
      </c>
      <c r="N262" s="109"/>
      <c r="O262" s="109"/>
    </row>
    <row r="263" spans="1:15" ht="15" customHeight="1" x14ac:dyDescent="0.3">
      <c r="A263" s="6"/>
      <c r="B263" s="793"/>
      <c r="C263" s="739" t="s">
        <v>367</v>
      </c>
      <c r="D263" s="740"/>
      <c r="E263" s="741"/>
      <c r="F263" s="264"/>
      <c r="G263" s="263"/>
      <c r="H263" s="263"/>
      <c r="I263" s="263"/>
      <c r="J263" s="267">
        <f t="shared" si="14"/>
        <v>0</v>
      </c>
      <c r="K263" s="267">
        <f t="shared" si="15"/>
        <v>0</v>
      </c>
      <c r="L263" s="267">
        <f t="shared" si="16"/>
        <v>0</v>
      </c>
      <c r="M263" s="109" t="str">
        <f t="shared" si="17"/>
        <v/>
      </c>
      <c r="N263" s="109"/>
      <c r="O263" s="109"/>
    </row>
    <row r="264" spans="1:15" ht="15" customHeight="1" x14ac:dyDescent="0.3">
      <c r="A264" s="6"/>
      <c r="B264" s="793"/>
      <c r="C264" s="104" t="s">
        <v>914</v>
      </c>
      <c r="D264" s="778"/>
      <c r="E264" s="779"/>
      <c r="F264" s="264"/>
      <c r="G264" s="263"/>
      <c r="H264" s="263"/>
      <c r="I264" s="263"/>
      <c r="J264" s="267">
        <f t="shared" si="14"/>
        <v>0</v>
      </c>
      <c r="K264" s="267">
        <f t="shared" si="15"/>
        <v>0</v>
      </c>
      <c r="L264" s="267">
        <f t="shared" si="16"/>
        <v>0</v>
      </c>
      <c r="M264" s="109" t="str">
        <f t="shared" si="17"/>
        <v/>
      </c>
      <c r="N264" s="109"/>
      <c r="O264" s="109"/>
    </row>
    <row r="265" spans="1:15" ht="15" customHeight="1" x14ac:dyDescent="0.3">
      <c r="A265" s="6"/>
      <c r="B265" s="794"/>
      <c r="C265" s="104" t="s">
        <v>914</v>
      </c>
      <c r="D265" s="778"/>
      <c r="E265" s="779"/>
      <c r="F265" s="265"/>
      <c r="G265" s="268"/>
      <c r="H265" s="268"/>
      <c r="I265" s="268"/>
      <c r="J265" s="267">
        <f t="shared" si="14"/>
        <v>0</v>
      </c>
      <c r="K265" s="267">
        <f t="shared" si="15"/>
        <v>0</v>
      </c>
      <c r="L265" s="267">
        <f t="shared" si="16"/>
        <v>0</v>
      </c>
      <c r="M265" s="109" t="str">
        <f t="shared" si="17"/>
        <v/>
      </c>
      <c r="N265" s="109"/>
      <c r="O265" s="109"/>
    </row>
    <row r="266" spans="1:15" ht="15" customHeight="1" x14ac:dyDescent="0.3">
      <c r="A266" s="6"/>
      <c r="B266" s="57"/>
      <c r="C266" s="58"/>
      <c r="D266" s="59"/>
      <c r="E266" s="59"/>
      <c r="F266" s="59"/>
      <c r="G266" s="59"/>
      <c r="H266" s="59"/>
      <c r="I266" s="59"/>
      <c r="J266" s="94"/>
      <c r="K266" s="94"/>
      <c r="L266" s="95"/>
      <c r="M266" s="109"/>
      <c r="N266" s="109"/>
      <c r="O266" s="109"/>
    </row>
    <row r="267" spans="1:15" ht="15" customHeight="1" x14ac:dyDescent="0.3">
      <c r="A267" s="6"/>
      <c r="B267" s="792" t="s">
        <v>399</v>
      </c>
      <c r="C267" s="731" t="s">
        <v>368</v>
      </c>
      <c r="D267" s="732"/>
      <c r="E267" s="733"/>
      <c r="F267" s="261"/>
      <c r="G267" s="263"/>
      <c r="H267" s="263"/>
      <c r="I267" s="263"/>
      <c r="J267" s="267">
        <f t="shared" ref="J267:J272" si="18">SUM(F267:H267)</f>
        <v>0</v>
      </c>
      <c r="K267" s="267">
        <f t="shared" ref="K267:K272" si="19">J267+I267</f>
        <v>0</v>
      </c>
      <c r="L267" s="267">
        <f t="shared" ref="L267:L272" si="20">Q348</f>
        <v>0</v>
      </c>
      <c r="M267" s="109" t="str">
        <f t="shared" ref="M267:M272" si="21">IF(L267&lt;&gt;K267,"Caution: Does Not Match Uses","")</f>
        <v/>
      </c>
      <c r="N267" s="109"/>
      <c r="O267" s="109"/>
    </row>
    <row r="268" spans="1:15" ht="15" customHeight="1" x14ac:dyDescent="0.3">
      <c r="A268" s="6"/>
      <c r="B268" s="793"/>
      <c r="C268" s="700" t="s">
        <v>369</v>
      </c>
      <c r="D268" s="701"/>
      <c r="E268" s="702"/>
      <c r="F268" s="261"/>
      <c r="G268" s="262"/>
      <c r="H268" s="262"/>
      <c r="I268" s="263"/>
      <c r="J268" s="267">
        <f t="shared" si="18"/>
        <v>0</v>
      </c>
      <c r="K268" s="267">
        <f t="shared" si="19"/>
        <v>0</v>
      </c>
      <c r="L268" s="267">
        <f t="shared" si="20"/>
        <v>0</v>
      </c>
      <c r="M268" s="109" t="str">
        <f t="shared" si="21"/>
        <v/>
      </c>
      <c r="N268" s="109"/>
      <c r="O268" s="109"/>
    </row>
    <row r="269" spans="1:15" ht="15" customHeight="1" x14ac:dyDescent="0.3">
      <c r="A269" s="6"/>
      <c r="B269" s="793"/>
      <c r="C269" s="731" t="s">
        <v>370</v>
      </c>
      <c r="D269" s="732"/>
      <c r="E269" s="733"/>
      <c r="F269" s="261"/>
      <c r="G269" s="263"/>
      <c r="H269" s="263"/>
      <c r="I269" s="263"/>
      <c r="J269" s="267">
        <f t="shared" si="18"/>
        <v>0</v>
      </c>
      <c r="K269" s="267">
        <f t="shared" si="19"/>
        <v>0</v>
      </c>
      <c r="L269" s="267">
        <f t="shared" si="20"/>
        <v>0</v>
      </c>
      <c r="M269" s="109" t="str">
        <f t="shared" si="21"/>
        <v/>
      </c>
      <c r="N269" s="109"/>
      <c r="O269" s="109"/>
    </row>
    <row r="270" spans="1:15" ht="15" customHeight="1" x14ac:dyDescent="0.3">
      <c r="A270" s="6"/>
      <c r="B270" s="793"/>
      <c r="C270" s="700" t="s">
        <v>996</v>
      </c>
      <c r="D270" s="701"/>
      <c r="E270" s="702"/>
      <c r="F270" s="261"/>
      <c r="G270" s="263"/>
      <c r="H270" s="263"/>
      <c r="I270" s="263"/>
      <c r="J270" s="267">
        <f t="shared" si="18"/>
        <v>0</v>
      </c>
      <c r="K270" s="267">
        <f t="shared" si="19"/>
        <v>0</v>
      </c>
      <c r="L270" s="267">
        <f t="shared" si="20"/>
        <v>0</v>
      </c>
      <c r="M270" s="109" t="str">
        <f t="shared" si="21"/>
        <v/>
      </c>
      <c r="N270" s="109"/>
      <c r="O270" s="109"/>
    </row>
    <row r="271" spans="1:15" ht="15" customHeight="1" x14ac:dyDescent="0.3">
      <c r="A271" s="6"/>
      <c r="B271" s="793"/>
      <c r="C271" s="101" t="s">
        <v>914</v>
      </c>
      <c r="D271" s="734"/>
      <c r="E271" s="735"/>
      <c r="F271" s="261"/>
      <c r="G271" s="263"/>
      <c r="H271" s="263"/>
      <c r="I271" s="263"/>
      <c r="J271" s="267">
        <f t="shared" si="18"/>
        <v>0</v>
      </c>
      <c r="K271" s="267">
        <f t="shared" si="19"/>
        <v>0</v>
      </c>
      <c r="L271" s="267">
        <f t="shared" si="20"/>
        <v>0</v>
      </c>
      <c r="M271" s="109" t="str">
        <f t="shared" si="21"/>
        <v/>
      </c>
      <c r="N271" s="109"/>
      <c r="O271" s="109"/>
    </row>
    <row r="272" spans="1:15" ht="15" customHeight="1" x14ac:dyDescent="0.3">
      <c r="A272" s="6"/>
      <c r="B272" s="794"/>
      <c r="C272" s="101" t="s">
        <v>914</v>
      </c>
      <c r="D272" s="734"/>
      <c r="E272" s="735"/>
      <c r="F272" s="269"/>
      <c r="G272" s="268"/>
      <c r="H272" s="268"/>
      <c r="I272" s="263"/>
      <c r="J272" s="267">
        <f t="shared" si="18"/>
        <v>0</v>
      </c>
      <c r="K272" s="267">
        <f t="shared" si="19"/>
        <v>0</v>
      </c>
      <c r="L272" s="267">
        <f t="shared" si="20"/>
        <v>0</v>
      </c>
      <c r="M272" s="109" t="str">
        <f t="shared" si="21"/>
        <v/>
      </c>
      <c r="N272" s="109"/>
      <c r="O272" s="109"/>
    </row>
    <row r="273" spans="1:15" ht="15" customHeight="1" x14ac:dyDescent="0.3">
      <c r="A273" s="6"/>
      <c r="B273" s="57"/>
      <c r="C273" s="58"/>
      <c r="D273" s="59"/>
      <c r="E273" s="59"/>
      <c r="F273" s="59"/>
      <c r="G273" s="59"/>
      <c r="H273" s="59"/>
      <c r="I273" s="59"/>
      <c r="J273" s="94"/>
      <c r="K273" s="94"/>
      <c r="L273" s="95"/>
      <c r="M273" s="109"/>
      <c r="N273" s="109"/>
      <c r="O273" s="109"/>
    </row>
    <row r="274" spans="1:15" ht="15" customHeight="1" x14ac:dyDescent="0.3">
      <c r="A274" s="6"/>
      <c r="B274" s="792" t="s">
        <v>400</v>
      </c>
      <c r="C274" s="700" t="s">
        <v>371</v>
      </c>
      <c r="D274" s="701"/>
      <c r="E274" s="702"/>
      <c r="F274" s="261"/>
      <c r="G274" s="263"/>
      <c r="H274" s="263"/>
      <c r="I274" s="263"/>
      <c r="J274" s="267">
        <f t="shared" ref="J274:J287" si="22">SUM(F274:H274)</f>
        <v>0</v>
      </c>
      <c r="K274" s="267">
        <f t="shared" ref="K274:K287" si="23">J274+I274</f>
        <v>0</v>
      </c>
      <c r="L274" s="267">
        <f t="shared" ref="L274:L287" si="24">Q355</f>
        <v>0</v>
      </c>
      <c r="M274" s="109" t="str">
        <f t="shared" ref="M274:M287" si="25">IF(L274&lt;&gt;K274,"Caution: Does Not Match Uses","")</f>
        <v/>
      </c>
      <c r="N274" s="109"/>
      <c r="O274" s="109"/>
    </row>
    <row r="275" spans="1:15" ht="15" customHeight="1" x14ac:dyDescent="0.3">
      <c r="A275" s="6"/>
      <c r="B275" s="793"/>
      <c r="C275" s="700" t="s">
        <v>372</v>
      </c>
      <c r="D275" s="701"/>
      <c r="E275" s="702"/>
      <c r="F275" s="264"/>
      <c r="G275" s="263"/>
      <c r="H275" s="263"/>
      <c r="I275" s="263"/>
      <c r="J275" s="267">
        <f t="shared" si="22"/>
        <v>0</v>
      </c>
      <c r="K275" s="267">
        <f t="shared" si="23"/>
        <v>0</v>
      </c>
      <c r="L275" s="267">
        <f t="shared" si="24"/>
        <v>0</v>
      </c>
      <c r="M275" s="109" t="str">
        <f t="shared" si="25"/>
        <v/>
      </c>
      <c r="N275" s="109"/>
      <c r="O275" s="109"/>
    </row>
    <row r="276" spans="1:15" ht="15" customHeight="1" x14ac:dyDescent="0.3">
      <c r="A276" s="6"/>
      <c r="B276" s="793"/>
      <c r="C276" s="700" t="s">
        <v>373</v>
      </c>
      <c r="D276" s="701"/>
      <c r="E276" s="702"/>
      <c r="F276" s="264"/>
      <c r="G276" s="263"/>
      <c r="H276" s="263"/>
      <c r="I276" s="263"/>
      <c r="J276" s="267">
        <f t="shared" si="22"/>
        <v>0</v>
      </c>
      <c r="K276" s="267">
        <f t="shared" si="23"/>
        <v>0</v>
      </c>
      <c r="L276" s="267">
        <f t="shared" si="24"/>
        <v>0</v>
      </c>
      <c r="M276" s="109" t="str">
        <f t="shared" si="25"/>
        <v/>
      </c>
      <c r="N276" s="109"/>
      <c r="O276" s="109"/>
    </row>
    <row r="277" spans="1:15" ht="15" customHeight="1" x14ac:dyDescent="0.3">
      <c r="A277" s="6"/>
      <c r="B277" s="793"/>
      <c r="C277" s="700" t="s">
        <v>405</v>
      </c>
      <c r="D277" s="701"/>
      <c r="E277" s="702"/>
      <c r="F277" s="261"/>
      <c r="G277" s="262"/>
      <c r="H277" s="262"/>
      <c r="I277" s="263"/>
      <c r="J277" s="267">
        <f t="shared" si="22"/>
        <v>0</v>
      </c>
      <c r="K277" s="267">
        <f t="shared" si="23"/>
        <v>0</v>
      </c>
      <c r="L277" s="267">
        <f t="shared" si="24"/>
        <v>0</v>
      </c>
      <c r="M277" s="109" t="str">
        <f t="shared" si="25"/>
        <v/>
      </c>
      <c r="N277" s="109"/>
      <c r="O277" s="109"/>
    </row>
    <row r="278" spans="1:15" ht="15" customHeight="1" x14ac:dyDescent="0.3">
      <c r="A278" s="6"/>
      <c r="B278" s="793"/>
      <c r="C278" s="731" t="s">
        <v>374</v>
      </c>
      <c r="D278" s="732"/>
      <c r="E278" s="733"/>
      <c r="F278" s="261"/>
      <c r="G278" s="262"/>
      <c r="H278" s="263"/>
      <c r="I278" s="263"/>
      <c r="J278" s="267">
        <f t="shared" si="22"/>
        <v>0</v>
      </c>
      <c r="K278" s="267">
        <f t="shared" si="23"/>
        <v>0</v>
      </c>
      <c r="L278" s="267">
        <f t="shared" si="24"/>
        <v>0</v>
      </c>
      <c r="M278" s="109" t="str">
        <f t="shared" si="25"/>
        <v/>
      </c>
      <c r="N278" s="109"/>
      <c r="O278" s="109"/>
    </row>
    <row r="279" spans="1:15" ht="15" customHeight="1" x14ac:dyDescent="0.3">
      <c r="A279" s="6"/>
      <c r="B279" s="793"/>
      <c r="C279" s="731" t="s">
        <v>375</v>
      </c>
      <c r="D279" s="732"/>
      <c r="E279" s="733"/>
      <c r="F279" s="261"/>
      <c r="G279" s="263"/>
      <c r="H279" s="262"/>
      <c r="I279" s="263"/>
      <c r="J279" s="267">
        <f t="shared" si="22"/>
        <v>0</v>
      </c>
      <c r="K279" s="267">
        <f t="shared" si="23"/>
        <v>0</v>
      </c>
      <c r="L279" s="267">
        <f t="shared" si="24"/>
        <v>0</v>
      </c>
      <c r="M279" s="109" t="str">
        <f t="shared" si="25"/>
        <v/>
      </c>
      <c r="N279" s="109"/>
      <c r="O279" s="109"/>
    </row>
    <row r="280" spans="1:15" ht="15" customHeight="1" x14ac:dyDescent="0.3">
      <c r="A280" s="6"/>
      <c r="B280" s="793"/>
      <c r="C280" s="731" t="s">
        <v>376</v>
      </c>
      <c r="D280" s="732"/>
      <c r="E280" s="733"/>
      <c r="F280" s="261"/>
      <c r="G280" s="262"/>
      <c r="H280" s="262"/>
      <c r="I280" s="263"/>
      <c r="J280" s="267">
        <f t="shared" si="22"/>
        <v>0</v>
      </c>
      <c r="K280" s="267">
        <f t="shared" si="23"/>
        <v>0</v>
      </c>
      <c r="L280" s="267">
        <f t="shared" si="24"/>
        <v>0</v>
      </c>
      <c r="M280" s="109" t="str">
        <f t="shared" si="25"/>
        <v/>
      </c>
      <c r="N280" s="109"/>
      <c r="O280" s="109"/>
    </row>
    <row r="281" spans="1:15" ht="15" customHeight="1" x14ac:dyDescent="0.3">
      <c r="A281" s="6"/>
      <c r="B281" s="793"/>
      <c r="C281" s="731" t="s">
        <v>377</v>
      </c>
      <c r="D281" s="732"/>
      <c r="E281" s="733"/>
      <c r="F281" s="261"/>
      <c r="G281" s="262"/>
      <c r="H281" s="262"/>
      <c r="I281" s="263"/>
      <c r="J281" s="267">
        <f t="shared" si="22"/>
        <v>0</v>
      </c>
      <c r="K281" s="267">
        <f t="shared" si="23"/>
        <v>0</v>
      </c>
      <c r="L281" s="267">
        <f t="shared" si="24"/>
        <v>0</v>
      </c>
      <c r="M281" s="109" t="str">
        <f t="shared" si="25"/>
        <v/>
      </c>
      <c r="N281" s="109"/>
      <c r="O281" s="109"/>
    </row>
    <row r="282" spans="1:15" ht="15" customHeight="1" x14ac:dyDescent="0.3">
      <c r="A282" s="6"/>
      <c r="B282" s="793"/>
      <c r="C282" s="731" t="s">
        <v>378</v>
      </c>
      <c r="D282" s="732"/>
      <c r="E282" s="733"/>
      <c r="F282" s="261"/>
      <c r="G282" s="263"/>
      <c r="H282" s="263"/>
      <c r="I282" s="263"/>
      <c r="J282" s="267">
        <f t="shared" si="22"/>
        <v>0</v>
      </c>
      <c r="K282" s="267">
        <f t="shared" si="23"/>
        <v>0</v>
      </c>
      <c r="L282" s="267">
        <f t="shared" si="24"/>
        <v>0</v>
      </c>
      <c r="M282" s="109" t="str">
        <f t="shared" si="25"/>
        <v/>
      </c>
      <c r="N282" s="109"/>
      <c r="O282" s="109"/>
    </row>
    <row r="283" spans="1:15" ht="15" customHeight="1" x14ac:dyDescent="0.3">
      <c r="A283" s="6"/>
      <c r="B283" s="793"/>
      <c r="C283" s="731" t="s">
        <v>379</v>
      </c>
      <c r="D283" s="732"/>
      <c r="E283" s="733"/>
      <c r="F283" s="261"/>
      <c r="G283" s="263"/>
      <c r="H283" s="263"/>
      <c r="I283" s="263"/>
      <c r="J283" s="267">
        <f t="shared" si="22"/>
        <v>0</v>
      </c>
      <c r="K283" s="267">
        <f t="shared" si="23"/>
        <v>0</v>
      </c>
      <c r="L283" s="267">
        <f t="shared" si="24"/>
        <v>0</v>
      </c>
      <c r="M283" s="109" t="str">
        <f t="shared" si="25"/>
        <v/>
      </c>
      <c r="N283" s="109"/>
      <c r="O283" s="109"/>
    </row>
    <row r="284" spans="1:15" ht="15" customHeight="1" x14ac:dyDescent="0.3">
      <c r="A284" s="6"/>
      <c r="B284" s="793"/>
      <c r="C284" s="700" t="s">
        <v>380</v>
      </c>
      <c r="D284" s="701"/>
      <c r="E284" s="702"/>
      <c r="F284" s="261"/>
      <c r="G284" s="263"/>
      <c r="H284" s="263"/>
      <c r="I284" s="263"/>
      <c r="J284" s="267">
        <f t="shared" si="22"/>
        <v>0</v>
      </c>
      <c r="K284" s="267">
        <f t="shared" si="23"/>
        <v>0</v>
      </c>
      <c r="L284" s="267">
        <f t="shared" si="24"/>
        <v>0</v>
      </c>
      <c r="M284" s="109" t="str">
        <f t="shared" si="25"/>
        <v/>
      </c>
      <c r="N284" s="109"/>
      <c r="O284" s="109"/>
    </row>
    <row r="285" spans="1:15" ht="15" customHeight="1" x14ac:dyDescent="0.3">
      <c r="A285" s="6"/>
      <c r="B285" s="793"/>
      <c r="C285" s="700" t="s">
        <v>381</v>
      </c>
      <c r="D285" s="701"/>
      <c r="E285" s="702"/>
      <c r="F285" s="264"/>
      <c r="G285" s="263"/>
      <c r="H285" s="263"/>
      <c r="I285" s="263"/>
      <c r="J285" s="267">
        <f t="shared" si="22"/>
        <v>0</v>
      </c>
      <c r="K285" s="267">
        <f t="shared" si="23"/>
        <v>0</v>
      </c>
      <c r="L285" s="267">
        <f t="shared" si="24"/>
        <v>0</v>
      </c>
      <c r="M285" s="109" t="str">
        <f t="shared" si="25"/>
        <v/>
      </c>
      <c r="N285" s="109"/>
      <c r="O285" s="109"/>
    </row>
    <row r="286" spans="1:15" ht="15" customHeight="1" x14ac:dyDescent="0.3">
      <c r="A286" s="6"/>
      <c r="B286" s="793"/>
      <c r="C286" s="101" t="s">
        <v>914</v>
      </c>
      <c r="D286" s="734"/>
      <c r="E286" s="735"/>
      <c r="F286" s="261"/>
      <c r="G286" s="263"/>
      <c r="H286" s="263"/>
      <c r="I286" s="263"/>
      <c r="J286" s="267">
        <f t="shared" si="22"/>
        <v>0</v>
      </c>
      <c r="K286" s="267">
        <f t="shared" si="23"/>
        <v>0</v>
      </c>
      <c r="L286" s="267">
        <f t="shared" si="24"/>
        <v>0</v>
      </c>
      <c r="M286" s="109" t="str">
        <f t="shared" si="25"/>
        <v/>
      </c>
      <c r="N286" s="109"/>
      <c r="O286" s="109"/>
    </row>
    <row r="287" spans="1:15" ht="15" customHeight="1" x14ac:dyDescent="0.3">
      <c r="A287" s="6"/>
      <c r="B287" s="794"/>
      <c r="C287" s="101" t="s">
        <v>914</v>
      </c>
      <c r="D287" s="734"/>
      <c r="E287" s="735"/>
      <c r="F287" s="269"/>
      <c r="G287" s="268"/>
      <c r="H287" s="268"/>
      <c r="I287" s="263"/>
      <c r="J287" s="267">
        <f t="shared" si="22"/>
        <v>0</v>
      </c>
      <c r="K287" s="267">
        <f t="shared" si="23"/>
        <v>0</v>
      </c>
      <c r="L287" s="267">
        <f t="shared" si="24"/>
        <v>0</v>
      </c>
      <c r="M287" s="109" t="str">
        <f t="shared" si="25"/>
        <v/>
      </c>
      <c r="N287" s="109"/>
      <c r="O287" s="109"/>
    </row>
    <row r="288" spans="1:15" ht="15" customHeight="1" x14ac:dyDescent="0.3">
      <c r="A288" s="6"/>
      <c r="B288" s="57"/>
      <c r="C288" s="58"/>
      <c r="D288" s="59"/>
      <c r="E288" s="59"/>
      <c r="F288" s="59"/>
      <c r="G288" s="59"/>
      <c r="H288" s="59"/>
      <c r="I288" s="59"/>
      <c r="J288" s="94"/>
      <c r="K288" s="94"/>
      <c r="L288" s="95"/>
      <c r="M288" s="109"/>
      <c r="N288" s="109"/>
      <c r="O288" s="109"/>
    </row>
    <row r="289" spans="1:15" ht="15" customHeight="1" x14ac:dyDescent="0.3">
      <c r="A289" s="6"/>
      <c r="B289" s="792" t="s">
        <v>545</v>
      </c>
      <c r="C289" s="700" t="s">
        <v>382</v>
      </c>
      <c r="D289" s="701"/>
      <c r="E289" s="702"/>
      <c r="F289" s="261"/>
      <c r="G289" s="263"/>
      <c r="H289" s="263"/>
      <c r="I289" s="263"/>
      <c r="J289" s="267">
        <f t="shared" ref="J289:J298" si="26">SUM(F289:H289)</f>
        <v>0</v>
      </c>
      <c r="K289" s="267">
        <f t="shared" ref="K289:K298" si="27">J289+I289</f>
        <v>0</v>
      </c>
      <c r="L289" s="267">
        <f t="shared" ref="L289:L298" si="28">Q370</f>
        <v>0</v>
      </c>
      <c r="M289" s="109" t="str">
        <f t="shared" ref="M289:M298" si="29">IF(L289&lt;&gt;K289,"Caution: Does Not Match Uses","")</f>
        <v/>
      </c>
      <c r="N289" s="109"/>
      <c r="O289" s="109"/>
    </row>
    <row r="290" spans="1:15" ht="15" customHeight="1" x14ac:dyDescent="0.3">
      <c r="A290" s="6"/>
      <c r="B290" s="793"/>
      <c r="C290" s="700" t="s">
        <v>383</v>
      </c>
      <c r="D290" s="701"/>
      <c r="E290" s="702"/>
      <c r="F290" s="261"/>
      <c r="G290" s="263"/>
      <c r="H290" s="263"/>
      <c r="I290" s="263"/>
      <c r="J290" s="267">
        <f t="shared" si="26"/>
        <v>0</v>
      </c>
      <c r="K290" s="267">
        <f t="shared" si="27"/>
        <v>0</v>
      </c>
      <c r="L290" s="267">
        <f t="shared" si="28"/>
        <v>0</v>
      </c>
      <c r="M290" s="109" t="str">
        <f t="shared" si="29"/>
        <v/>
      </c>
      <c r="N290" s="109"/>
      <c r="O290" s="109"/>
    </row>
    <row r="291" spans="1:15" ht="15" customHeight="1" x14ac:dyDescent="0.3">
      <c r="A291" s="6"/>
      <c r="B291" s="793"/>
      <c r="C291" s="700" t="s">
        <v>384</v>
      </c>
      <c r="D291" s="701"/>
      <c r="E291" s="702"/>
      <c r="F291" s="261"/>
      <c r="G291" s="263"/>
      <c r="H291" s="263"/>
      <c r="I291" s="263"/>
      <c r="J291" s="267">
        <f t="shared" si="26"/>
        <v>0</v>
      </c>
      <c r="K291" s="267">
        <f t="shared" si="27"/>
        <v>0</v>
      </c>
      <c r="L291" s="267">
        <f t="shared" si="28"/>
        <v>0</v>
      </c>
      <c r="M291" s="109" t="str">
        <f t="shared" si="29"/>
        <v/>
      </c>
      <c r="N291" s="109"/>
      <c r="O291" s="109"/>
    </row>
    <row r="292" spans="1:15" ht="15" customHeight="1" x14ac:dyDescent="0.3">
      <c r="A292" s="6"/>
      <c r="B292" s="793"/>
      <c r="C292" s="700" t="s">
        <v>385</v>
      </c>
      <c r="D292" s="701"/>
      <c r="E292" s="702"/>
      <c r="F292" s="261"/>
      <c r="G292" s="262"/>
      <c r="H292" s="262"/>
      <c r="I292" s="263"/>
      <c r="J292" s="267">
        <f t="shared" si="26"/>
        <v>0</v>
      </c>
      <c r="K292" s="267">
        <f t="shared" si="27"/>
        <v>0</v>
      </c>
      <c r="L292" s="267">
        <f t="shared" si="28"/>
        <v>0</v>
      </c>
      <c r="M292" s="109" t="str">
        <f t="shared" si="29"/>
        <v/>
      </c>
      <c r="N292" s="109"/>
      <c r="O292" s="109"/>
    </row>
    <row r="293" spans="1:15" ht="15" customHeight="1" x14ac:dyDescent="0.3">
      <c r="A293" s="6"/>
      <c r="B293" s="793"/>
      <c r="C293" s="700" t="s">
        <v>386</v>
      </c>
      <c r="D293" s="701"/>
      <c r="E293" s="702"/>
      <c r="F293" s="264"/>
      <c r="G293" s="263"/>
      <c r="H293" s="263"/>
      <c r="I293" s="263"/>
      <c r="J293" s="267">
        <f t="shared" si="26"/>
        <v>0</v>
      </c>
      <c r="K293" s="267">
        <f t="shared" si="27"/>
        <v>0</v>
      </c>
      <c r="L293" s="267">
        <f t="shared" si="28"/>
        <v>0</v>
      </c>
      <c r="M293" s="109" t="str">
        <f t="shared" si="29"/>
        <v/>
      </c>
      <c r="N293" s="109"/>
      <c r="O293" s="109"/>
    </row>
    <row r="294" spans="1:15" ht="15" customHeight="1" x14ac:dyDescent="0.3">
      <c r="A294" s="6"/>
      <c r="B294" s="793"/>
      <c r="C294" s="700" t="s">
        <v>387</v>
      </c>
      <c r="D294" s="701"/>
      <c r="E294" s="702"/>
      <c r="F294" s="264"/>
      <c r="G294" s="263"/>
      <c r="H294" s="263"/>
      <c r="I294" s="263"/>
      <c r="J294" s="267">
        <f t="shared" si="26"/>
        <v>0</v>
      </c>
      <c r="K294" s="267">
        <f t="shared" si="27"/>
        <v>0</v>
      </c>
      <c r="L294" s="267">
        <f t="shared" si="28"/>
        <v>0</v>
      </c>
      <c r="M294" s="109" t="str">
        <f t="shared" si="29"/>
        <v/>
      </c>
      <c r="N294" s="109"/>
      <c r="O294" s="109"/>
    </row>
    <row r="295" spans="1:15" ht="15" customHeight="1" x14ac:dyDescent="0.3">
      <c r="A295" s="6"/>
      <c r="B295" s="793"/>
      <c r="C295" s="739" t="s">
        <v>388</v>
      </c>
      <c r="D295" s="740"/>
      <c r="E295" s="741"/>
      <c r="F295" s="261"/>
      <c r="G295" s="262"/>
      <c r="H295" s="262"/>
      <c r="I295" s="263"/>
      <c r="J295" s="267">
        <f t="shared" si="26"/>
        <v>0</v>
      </c>
      <c r="K295" s="267">
        <f t="shared" si="27"/>
        <v>0</v>
      </c>
      <c r="L295" s="267">
        <f t="shared" si="28"/>
        <v>0</v>
      </c>
      <c r="M295" s="109" t="str">
        <f t="shared" si="29"/>
        <v/>
      </c>
      <c r="N295" s="109"/>
      <c r="O295" s="109"/>
    </row>
    <row r="296" spans="1:15" ht="15" customHeight="1" x14ac:dyDescent="0.3">
      <c r="A296" s="6"/>
      <c r="B296" s="793"/>
      <c r="C296" s="700" t="s">
        <v>942</v>
      </c>
      <c r="D296" s="701"/>
      <c r="E296" s="702"/>
      <c r="F296" s="261"/>
      <c r="G296" s="266"/>
      <c r="H296" s="266"/>
      <c r="I296" s="268"/>
      <c r="J296" s="267">
        <f t="shared" si="26"/>
        <v>0</v>
      </c>
      <c r="K296" s="267">
        <f t="shared" si="27"/>
        <v>0</v>
      </c>
      <c r="L296" s="267">
        <f t="shared" si="28"/>
        <v>0</v>
      </c>
      <c r="M296" s="109" t="str">
        <f t="shared" si="29"/>
        <v/>
      </c>
      <c r="N296" s="109"/>
      <c r="O296" s="109"/>
    </row>
    <row r="297" spans="1:15" ht="15" customHeight="1" x14ac:dyDescent="0.3">
      <c r="A297" s="6"/>
      <c r="B297" s="793"/>
      <c r="C297" s="101" t="s">
        <v>914</v>
      </c>
      <c r="D297" s="734"/>
      <c r="E297" s="735"/>
      <c r="F297" s="264"/>
      <c r="G297" s="263"/>
      <c r="H297" s="263"/>
      <c r="I297" s="263"/>
      <c r="J297" s="267">
        <f t="shared" si="26"/>
        <v>0</v>
      </c>
      <c r="K297" s="267">
        <f t="shared" si="27"/>
        <v>0</v>
      </c>
      <c r="L297" s="267">
        <f t="shared" si="28"/>
        <v>0</v>
      </c>
      <c r="M297" s="109" t="str">
        <f t="shared" si="29"/>
        <v/>
      </c>
      <c r="N297" s="109"/>
      <c r="O297" s="109"/>
    </row>
    <row r="298" spans="1:15" ht="15" customHeight="1" x14ac:dyDescent="0.3">
      <c r="A298" s="6"/>
      <c r="B298" s="794"/>
      <c r="C298" s="101" t="s">
        <v>914</v>
      </c>
      <c r="D298" s="734"/>
      <c r="E298" s="735"/>
      <c r="F298" s="265"/>
      <c r="G298" s="268"/>
      <c r="H298" s="268"/>
      <c r="I298" s="268"/>
      <c r="J298" s="267">
        <f t="shared" si="26"/>
        <v>0</v>
      </c>
      <c r="K298" s="267">
        <f t="shared" si="27"/>
        <v>0</v>
      </c>
      <c r="L298" s="267">
        <f t="shared" si="28"/>
        <v>0</v>
      </c>
      <c r="M298" s="109" t="str">
        <f t="shared" si="29"/>
        <v/>
      </c>
      <c r="N298" s="109"/>
      <c r="O298" s="109"/>
    </row>
    <row r="299" spans="1:15" ht="15" customHeight="1" x14ac:dyDescent="0.3">
      <c r="A299" s="6"/>
      <c r="B299" s="57"/>
      <c r="C299" s="58"/>
      <c r="D299" s="59"/>
      <c r="E299" s="59"/>
      <c r="F299" s="59"/>
      <c r="G299" s="59"/>
      <c r="H299" s="59"/>
      <c r="I299" s="59"/>
      <c r="J299" s="94"/>
      <c r="K299" s="94"/>
      <c r="L299" s="95"/>
      <c r="M299" s="109"/>
      <c r="N299" s="109"/>
      <c r="O299" s="109"/>
    </row>
    <row r="300" spans="1:15" ht="15" customHeight="1" x14ac:dyDescent="0.3">
      <c r="A300" s="6"/>
      <c r="B300" s="792" t="s">
        <v>401</v>
      </c>
      <c r="C300" s="739" t="s">
        <v>389</v>
      </c>
      <c r="D300" s="740"/>
      <c r="E300" s="741"/>
      <c r="F300" s="264"/>
      <c r="G300" s="263"/>
      <c r="H300" s="263"/>
      <c r="I300" s="263"/>
      <c r="J300" s="267">
        <f t="shared" ref="J300:J311" si="30">SUM(F300:H300)</f>
        <v>0</v>
      </c>
      <c r="K300" s="267">
        <f t="shared" ref="K300:K311" si="31">J300+I300</f>
        <v>0</v>
      </c>
      <c r="L300" s="267">
        <f t="shared" ref="L300:L311" si="32">Q381</f>
        <v>0</v>
      </c>
      <c r="M300" s="109" t="str">
        <f t="shared" ref="M300:M311" si="33">IF(L300&lt;&gt;K300,"Caution: Does Not Match Uses","")</f>
        <v/>
      </c>
      <c r="N300" s="109"/>
      <c r="O300" s="109"/>
    </row>
    <row r="301" spans="1:15" ht="15" customHeight="1" x14ac:dyDescent="0.3">
      <c r="A301" s="6"/>
      <c r="B301" s="793"/>
      <c r="C301" s="739" t="s">
        <v>390</v>
      </c>
      <c r="D301" s="740"/>
      <c r="E301" s="741"/>
      <c r="F301" s="264"/>
      <c r="G301" s="263"/>
      <c r="H301" s="263"/>
      <c r="I301" s="263"/>
      <c r="J301" s="267">
        <f t="shared" si="30"/>
        <v>0</v>
      </c>
      <c r="K301" s="267">
        <f t="shared" si="31"/>
        <v>0</v>
      </c>
      <c r="L301" s="267">
        <f t="shared" si="32"/>
        <v>0</v>
      </c>
      <c r="M301" s="109" t="str">
        <f t="shared" si="33"/>
        <v/>
      </c>
      <c r="N301" s="109"/>
      <c r="O301" s="109"/>
    </row>
    <row r="302" spans="1:15" ht="15" customHeight="1" x14ac:dyDescent="0.3">
      <c r="A302" s="6"/>
      <c r="B302" s="793"/>
      <c r="C302" s="736" t="s">
        <v>1100</v>
      </c>
      <c r="D302" s="737"/>
      <c r="E302" s="738"/>
      <c r="F302" s="264"/>
      <c r="G302" s="264"/>
      <c r="H302" s="264"/>
      <c r="I302" s="264"/>
      <c r="J302" s="267">
        <f t="shared" si="30"/>
        <v>0</v>
      </c>
      <c r="K302" s="267">
        <f t="shared" si="31"/>
        <v>0</v>
      </c>
      <c r="L302" s="267">
        <f t="shared" si="32"/>
        <v>0</v>
      </c>
      <c r="M302" s="109" t="str">
        <f t="shared" si="33"/>
        <v/>
      </c>
      <c r="N302" s="109"/>
      <c r="O302" s="109"/>
    </row>
    <row r="303" spans="1:15" ht="15" customHeight="1" x14ac:dyDescent="0.3">
      <c r="A303" s="6"/>
      <c r="B303" s="793"/>
      <c r="C303" s="739" t="s">
        <v>1101</v>
      </c>
      <c r="D303" s="740"/>
      <c r="E303" s="741"/>
      <c r="F303" s="264"/>
      <c r="G303" s="263"/>
      <c r="H303" s="263"/>
      <c r="I303" s="263"/>
      <c r="J303" s="267">
        <f t="shared" si="30"/>
        <v>0</v>
      </c>
      <c r="K303" s="267">
        <f t="shared" si="31"/>
        <v>0</v>
      </c>
      <c r="L303" s="267">
        <f t="shared" si="32"/>
        <v>0</v>
      </c>
      <c r="M303" s="109" t="str">
        <f t="shared" si="33"/>
        <v/>
      </c>
      <c r="N303" s="109"/>
      <c r="O303" s="109"/>
    </row>
    <row r="304" spans="1:15" ht="15" customHeight="1" x14ac:dyDescent="0.3">
      <c r="A304" s="6"/>
      <c r="B304" s="793"/>
      <c r="C304" s="84" t="s">
        <v>1102</v>
      </c>
      <c r="D304" s="85"/>
      <c r="E304" s="86"/>
      <c r="F304" s="264"/>
      <c r="G304" s="263"/>
      <c r="H304" s="263"/>
      <c r="I304" s="263"/>
      <c r="J304" s="267">
        <f t="shared" si="30"/>
        <v>0</v>
      </c>
      <c r="K304" s="267">
        <f t="shared" si="31"/>
        <v>0</v>
      </c>
      <c r="L304" s="267">
        <f t="shared" si="32"/>
        <v>0</v>
      </c>
      <c r="M304" s="109" t="str">
        <f t="shared" si="33"/>
        <v/>
      </c>
      <c r="N304" s="109"/>
      <c r="O304" s="109"/>
    </row>
    <row r="305" spans="1:15" ht="15" customHeight="1" x14ac:dyDescent="0.3">
      <c r="A305" s="6"/>
      <c r="B305" s="793"/>
      <c r="C305" s="84" t="s">
        <v>1103</v>
      </c>
      <c r="D305" s="85"/>
      <c r="E305" s="86"/>
      <c r="F305" s="264"/>
      <c r="G305" s="263"/>
      <c r="H305" s="263"/>
      <c r="I305" s="263"/>
      <c r="J305" s="267">
        <f t="shared" si="30"/>
        <v>0</v>
      </c>
      <c r="K305" s="267">
        <f t="shared" si="31"/>
        <v>0</v>
      </c>
      <c r="L305" s="267">
        <f t="shared" si="32"/>
        <v>0</v>
      </c>
      <c r="M305" s="109" t="str">
        <f t="shared" si="33"/>
        <v/>
      </c>
      <c r="N305" s="109"/>
      <c r="O305" s="109"/>
    </row>
    <row r="306" spans="1:15" ht="15" customHeight="1" x14ac:dyDescent="0.3">
      <c r="A306" s="6"/>
      <c r="B306" s="793"/>
      <c r="C306" s="84" t="s">
        <v>1104</v>
      </c>
      <c r="D306" s="85"/>
      <c r="E306" s="86"/>
      <c r="F306" s="264"/>
      <c r="G306" s="263"/>
      <c r="H306" s="263"/>
      <c r="I306" s="263"/>
      <c r="J306" s="267">
        <f t="shared" si="30"/>
        <v>0</v>
      </c>
      <c r="K306" s="267">
        <f t="shared" si="31"/>
        <v>0</v>
      </c>
      <c r="L306" s="267">
        <f t="shared" si="32"/>
        <v>0</v>
      </c>
      <c r="M306" s="109" t="str">
        <f t="shared" si="33"/>
        <v/>
      </c>
      <c r="N306" s="109"/>
      <c r="O306" s="109"/>
    </row>
    <row r="307" spans="1:15" ht="15" customHeight="1" x14ac:dyDescent="0.3">
      <c r="A307" s="6"/>
      <c r="B307" s="793"/>
      <c r="C307" s="739" t="s">
        <v>391</v>
      </c>
      <c r="D307" s="740"/>
      <c r="E307" s="741"/>
      <c r="F307" s="261"/>
      <c r="G307" s="262"/>
      <c r="H307" s="262"/>
      <c r="I307" s="263"/>
      <c r="J307" s="267">
        <f t="shared" si="30"/>
        <v>0</v>
      </c>
      <c r="K307" s="267">
        <f t="shared" si="31"/>
        <v>0</v>
      </c>
      <c r="L307" s="267">
        <f t="shared" si="32"/>
        <v>0</v>
      </c>
      <c r="M307" s="109" t="str">
        <f t="shared" si="33"/>
        <v/>
      </c>
      <c r="N307" s="109"/>
      <c r="O307" s="109"/>
    </row>
    <row r="308" spans="1:15" ht="15" customHeight="1" x14ac:dyDescent="0.3">
      <c r="A308" s="6"/>
      <c r="B308" s="793"/>
      <c r="C308" s="739" t="s">
        <v>392</v>
      </c>
      <c r="D308" s="740"/>
      <c r="E308" s="741"/>
      <c r="F308" s="261"/>
      <c r="G308" s="262"/>
      <c r="H308" s="262"/>
      <c r="I308" s="263"/>
      <c r="J308" s="267">
        <f t="shared" si="30"/>
        <v>0</v>
      </c>
      <c r="K308" s="267">
        <f t="shared" si="31"/>
        <v>0</v>
      </c>
      <c r="L308" s="267">
        <f t="shared" si="32"/>
        <v>0</v>
      </c>
      <c r="M308" s="109" t="str">
        <f t="shared" si="33"/>
        <v/>
      </c>
      <c r="N308" s="109"/>
      <c r="O308" s="109"/>
    </row>
    <row r="309" spans="1:15" ht="15" customHeight="1" x14ac:dyDescent="0.3">
      <c r="A309" s="6"/>
      <c r="B309" s="793"/>
      <c r="C309" s="739" t="s">
        <v>1105</v>
      </c>
      <c r="D309" s="740"/>
      <c r="E309" s="741"/>
      <c r="F309" s="261"/>
      <c r="G309" s="262"/>
      <c r="H309" s="262"/>
      <c r="I309" s="263"/>
      <c r="J309" s="267">
        <f t="shared" si="30"/>
        <v>0</v>
      </c>
      <c r="K309" s="267">
        <f t="shared" si="31"/>
        <v>0</v>
      </c>
      <c r="L309" s="267">
        <f t="shared" si="32"/>
        <v>0</v>
      </c>
      <c r="M309" s="109" t="str">
        <f t="shared" si="33"/>
        <v/>
      </c>
      <c r="N309" s="109"/>
      <c r="O309" s="109"/>
    </row>
    <row r="310" spans="1:15" ht="15" customHeight="1" x14ac:dyDescent="0.3">
      <c r="A310" s="6"/>
      <c r="B310" s="793"/>
      <c r="C310" s="104" t="s">
        <v>914</v>
      </c>
      <c r="D310" s="778"/>
      <c r="E310" s="779"/>
      <c r="F310" s="264"/>
      <c r="G310" s="263"/>
      <c r="H310" s="263"/>
      <c r="I310" s="263"/>
      <c r="J310" s="267">
        <f t="shared" si="30"/>
        <v>0</v>
      </c>
      <c r="K310" s="267">
        <f t="shared" si="31"/>
        <v>0</v>
      </c>
      <c r="L310" s="267">
        <f t="shared" si="32"/>
        <v>0</v>
      </c>
      <c r="M310" s="109" t="str">
        <f t="shared" si="33"/>
        <v/>
      </c>
      <c r="N310" s="109"/>
      <c r="O310" s="109"/>
    </row>
    <row r="311" spans="1:15" ht="15" customHeight="1" x14ac:dyDescent="0.3">
      <c r="A311" s="6"/>
      <c r="B311" s="794"/>
      <c r="C311" s="104" t="s">
        <v>914</v>
      </c>
      <c r="D311" s="778"/>
      <c r="E311" s="779"/>
      <c r="F311" s="265"/>
      <c r="G311" s="268"/>
      <c r="H311" s="268"/>
      <c r="I311" s="268"/>
      <c r="J311" s="267">
        <f t="shared" si="30"/>
        <v>0</v>
      </c>
      <c r="K311" s="267">
        <f t="shared" si="31"/>
        <v>0</v>
      </c>
      <c r="L311" s="267">
        <f t="shared" si="32"/>
        <v>0</v>
      </c>
      <c r="M311" s="109" t="str">
        <f t="shared" si="33"/>
        <v/>
      </c>
      <c r="N311" s="109"/>
      <c r="O311" s="109"/>
    </row>
    <row r="312" spans="1:15" ht="15" customHeight="1" x14ac:dyDescent="0.3">
      <c r="A312" s="6"/>
      <c r="B312" s="57"/>
      <c r="C312" s="58"/>
      <c r="D312" s="59"/>
      <c r="E312" s="59"/>
      <c r="F312" s="59"/>
      <c r="G312" s="59"/>
      <c r="H312" s="59"/>
      <c r="I312" s="59"/>
      <c r="J312" s="94"/>
      <c r="K312" s="94"/>
      <c r="L312" s="95"/>
      <c r="M312" s="109"/>
      <c r="N312" s="109"/>
      <c r="O312" s="109"/>
    </row>
    <row r="313" spans="1:15" ht="15" customHeight="1" x14ac:dyDescent="0.3">
      <c r="A313" s="6"/>
      <c r="B313" s="792" t="s">
        <v>402</v>
      </c>
      <c r="C313" s="700" t="s">
        <v>7906</v>
      </c>
      <c r="D313" s="701"/>
      <c r="E313" s="702"/>
      <c r="F313" s="261"/>
      <c r="G313" s="262"/>
      <c r="H313" s="262"/>
      <c r="I313" s="263"/>
      <c r="J313" s="267">
        <f>SUM(F313:H313)</f>
        <v>0</v>
      </c>
      <c r="K313" s="267">
        <f>J313+I313</f>
        <v>0</v>
      </c>
      <c r="L313" s="267">
        <f>Q394</f>
        <v>0</v>
      </c>
      <c r="M313" s="109" t="str">
        <f>IF(L313&lt;&gt;K313,"Caution: Does Not Match Uses","")</f>
        <v/>
      </c>
      <c r="N313" s="109"/>
      <c r="O313" s="109"/>
    </row>
    <row r="314" spans="1:15" ht="15" customHeight="1" x14ac:dyDescent="0.3">
      <c r="A314" s="6"/>
      <c r="B314" s="793"/>
      <c r="C314" s="700" t="s">
        <v>7907</v>
      </c>
      <c r="D314" s="701"/>
      <c r="E314" s="702"/>
      <c r="F314" s="261"/>
      <c r="G314" s="262"/>
      <c r="H314" s="262"/>
      <c r="I314" s="267">
        <f>ROUNDUP(LIHTCs!C43*0.06,0)</f>
        <v>0</v>
      </c>
      <c r="J314" s="267">
        <f>SUM(F314:H314)</f>
        <v>0</v>
      </c>
      <c r="K314" s="267">
        <f>J314+I314</f>
        <v>0</v>
      </c>
      <c r="L314" s="267">
        <f>Q395</f>
        <v>0</v>
      </c>
      <c r="M314" s="109" t="str">
        <f>IF(L314&lt;&gt;K314,"Caution: Does Not Match Uses","")</f>
        <v/>
      </c>
      <c r="N314" s="109"/>
      <c r="O314" s="109"/>
    </row>
    <row r="315" spans="1:15" ht="15" customHeight="1" x14ac:dyDescent="0.3">
      <c r="A315" s="6"/>
      <c r="B315" s="793"/>
      <c r="C315" s="700" t="s">
        <v>395</v>
      </c>
      <c r="D315" s="701"/>
      <c r="E315" s="702"/>
      <c r="F315" s="261"/>
      <c r="G315" s="262"/>
      <c r="H315" s="262"/>
      <c r="I315" s="267">
        <f>C45*2400</f>
        <v>0</v>
      </c>
      <c r="J315" s="267">
        <f>SUM(F315:H315)</f>
        <v>0</v>
      </c>
      <c r="K315" s="267">
        <f>J315+I315</f>
        <v>0</v>
      </c>
      <c r="L315" s="267">
        <f>Q396</f>
        <v>0</v>
      </c>
      <c r="M315" s="109" t="str">
        <f>IF(L315&lt;&gt;K315,"Caution: Does Not Match Uses","")</f>
        <v/>
      </c>
      <c r="N315" s="109"/>
      <c r="O315" s="109"/>
    </row>
    <row r="316" spans="1:15" ht="15" customHeight="1" x14ac:dyDescent="0.3">
      <c r="A316" s="6"/>
      <c r="B316" s="793"/>
      <c r="C316" s="101" t="s">
        <v>914</v>
      </c>
      <c r="D316" s="734"/>
      <c r="E316" s="735"/>
      <c r="F316" s="261"/>
      <c r="G316" s="262"/>
      <c r="H316" s="262"/>
      <c r="I316" s="263"/>
      <c r="J316" s="267">
        <f>SUM(F316:H316)</f>
        <v>0</v>
      </c>
      <c r="K316" s="267">
        <f>J316+I316</f>
        <v>0</v>
      </c>
      <c r="L316" s="267">
        <f>Q397</f>
        <v>0</v>
      </c>
      <c r="M316" s="109" t="str">
        <f>IF(L316&lt;&gt;K316,"Caution: Does Not Match Uses","")</f>
        <v/>
      </c>
      <c r="N316" s="109"/>
      <c r="O316" s="109"/>
    </row>
    <row r="317" spans="1:15" ht="15" customHeight="1" x14ac:dyDescent="0.3">
      <c r="A317" s="6"/>
      <c r="B317" s="794"/>
      <c r="C317" s="101" t="s">
        <v>914</v>
      </c>
      <c r="D317" s="734"/>
      <c r="E317" s="735"/>
      <c r="F317" s="269"/>
      <c r="G317" s="266"/>
      <c r="H317" s="266"/>
      <c r="I317" s="263"/>
      <c r="J317" s="267">
        <f>SUM(F317:H317)</f>
        <v>0</v>
      </c>
      <c r="K317" s="267">
        <f>J317+I317</f>
        <v>0</v>
      </c>
      <c r="L317" s="267">
        <f>Q398</f>
        <v>0</v>
      </c>
      <c r="M317" s="109" t="str">
        <f>IF(L317&lt;&gt;K317,"Caution: Does Not Match Uses","")</f>
        <v/>
      </c>
      <c r="N317" s="109"/>
      <c r="O317" s="109"/>
    </row>
    <row r="318" spans="1:15" ht="15" customHeight="1" x14ac:dyDescent="0.3">
      <c r="A318" s="6"/>
      <c r="B318" s="57"/>
      <c r="C318" s="58"/>
      <c r="D318" s="59"/>
      <c r="E318" s="59"/>
      <c r="F318" s="59"/>
      <c r="G318" s="59"/>
      <c r="H318" s="59"/>
      <c r="I318" s="59"/>
      <c r="J318" s="94"/>
      <c r="K318" s="94"/>
      <c r="L318" s="95"/>
      <c r="M318" s="109"/>
      <c r="N318" s="109"/>
      <c r="O318" s="109"/>
    </row>
    <row r="319" spans="1:15" ht="15" customHeight="1" x14ac:dyDescent="0.3">
      <c r="A319" s="6"/>
      <c r="B319" s="792" t="s">
        <v>403</v>
      </c>
      <c r="C319" s="700" t="s">
        <v>396</v>
      </c>
      <c r="D319" s="701"/>
      <c r="E319" s="702"/>
      <c r="F319" s="152"/>
      <c r="G319" s="153"/>
      <c r="H319" s="153"/>
      <c r="I319" s="146"/>
      <c r="J319" s="28">
        <f>SUM(F319:H319)</f>
        <v>0</v>
      </c>
      <c r="K319" s="28">
        <f>J319+I319</f>
        <v>0</v>
      </c>
      <c r="L319" s="28">
        <f>Q400</f>
        <v>0</v>
      </c>
      <c r="M319" s="109" t="str">
        <f>IF(L319&lt;&gt;K319,"Caution: Does Not Match Uses","")</f>
        <v/>
      </c>
      <c r="N319" s="109"/>
      <c r="O319" s="109"/>
    </row>
    <row r="320" spans="1:15" ht="15" customHeight="1" x14ac:dyDescent="0.3">
      <c r="A320" s="6"/>
      <c r="B320" s="793"/>
      <c r="C320" s="700" t="s">
        <v>397</v>
      </c>
      <c r="D320" s="701"/>
      <c r="E320" s="702"/>
      <c r="F320" s="152"/>
      <c r="G320" s="153"/>
      <c r="H320" s="153"/>
      <c r="I320" s="146"/>
      <c r="J320" s="28">
        <f>SUM(F320:H320)</f>
        <v>0</v>
      </c>
      <c r="K320" s="28">
        <f>J320+I320</f>
        <v>0</v>
      </c>
      <c r="L320" s="28">
        <f>Q401</f>
        <v>0</v>
      </c>
      <c r="M320" s="109" t="str">
        <f>IF(L320&lt;&gt;K320,"Caution: Does Not Match Uses","")</f>
        <v/>
      </c>
      <c r="N320" s="109"/>
      <c r="O320" s="109"/>
    </row>
    <row r="321" spans="1:18" ht="15" customHeight="1" x14ac:dyDescent="0.3">
      <c r="A321" s="6"/>
      <c r="B321" s="793"/>
      <c r="C321" s="101" t="s">
        <v>914</v>
      </c>
      <c r="D321" s="734"/>
      <c r="E321" s="735"/>
      <c r="F321" s="152"/>
      <c r="G321" s="153"/>
      <c r="H321" s="153"/>
      <c r="I321" s="146"/>
      <c r="J321" s="28">
        <f>SUM(F321:H321)</f>
        <v>0</v>
      </c>
      <c r="K321" s="28">
        <f>J321+I321</f>
        <v>0</v>
      </c>
      <c r="L321" s="28">
        <f>Q402</f>
        <v>0</v>
      </c>
      <c r="M321" s="109" t="str">
        <f>IF(L321&lt;&gt;K321,"Caution: Does Not Match Uses","")</f>
        <v/>
      </c>
      <c r="N321" s="109"/>
      <c r="O321" s="109"/>
    </row>
    <row r="322" spans="1:18" ht="15" customHeight="1" x14ac:dyDescent="0.3">
      <c r="A322" s="6"/>
      <c r="B322" s="794"/>
      <c r="C322" s="101" t="s">
        <v>914</v>
      </c>
      <c r="D322" s="734"/>
      <c r="E322" s="735"/>
      <c r="F322" s="156"/>
      <c r="G322" s="155"/>
      <c r="H322" s="155"/>
      <c r="I322" s="146"/>
      <c r="J322" s="28">
        <f>SUM(F322:H322)</f>
        <v>0</v>
      </c>
      <c r="K322" s="28">
        <f>J322+I322</f>
        <v>0</v>
      </c>
      <c r="L322" s="28">
        <f>Q403</f>
        <v>0</v>
      </c>
      <c r="M322" s="109" t="str">
        <f>IF(L322&lt;&gt;K322,"Caution: Does Not Match Uses","")</f>
        <v/>
      </c>
      <c r="N322" s="109"/>
      <c r="O322" s="109"/>
    </row>
    <row r="323" spans="1:18" ht="15" customHeight="1" x14ac:dyDescent="0.3">
      <c r="A323" s="6"/>
      <c r="B323" s="57"/>
      <c r="C323" s="58"/>
      <c r="D323" s="59"/>
      <c r="E323" s="59"/>
      <c r="F323" s="59"/>
      <c r="G323" s="59"/>
      <c r="H323" s="59"/>
      <c r="I323" s="59"/>
      <c r="J323" s="95"/>
      <c r="K323" s="95"/>
      <c r="L323" s="95"/>
      <c r="M323" s="109"/>
      <c r="N323" s="109"/>
      <c r="O323" s="109"/>
    </row>
    <row r="324" spans="1:18" ht="15" customHeight="1" x14ac:dyDescent="0.3">
      <c r="A324" s="6"/>
      <c r="C324" s="751" t="s">
        <v>398</v>
      </c>
      <c r="D324" s="752"/>
      <c r="E324" s="753"/>
      <c r="F324" s="270">
        <f t="shared" ref="F324:L324" si="34">SUM(F251:F323)</f>
        <v>0</v>
      </c>
      <c r="G324" s="270">
        <f t="shared" si="34"/>
        <v>0</v>
      </c>
      <c r="H324" s="270">
        <f t="shared" si="34"/>
        <v>0</v>
      </c>
      <c r="I324" s="270">
        <f t="shared" si="34"/>
        <v>0</v>
      </c>
      <c r="J324" s="270">
        <f t="shared" si="34"/>
        <v>0</v>
      </c>
      <c r="K324" s="270">
        <f t="shared" si="34"/>
        <v>0</v>
      </c>
      <c r="L324" s="270">
        <f t="shared" si="34"/>
        <v>0</v>
      </c>
      <c r="M324" s="109" t="str">
        <f>IF(L324&lt;&gt;K324,"Caution: Does Not Match Uses","")</f>
        <v/>
      </c>
      <c r="N324" s="109"/>
      <c r="O324" s="109"/>
    </row>
    <row r="325" spans="1:18" ht="15" customHeight="1" x14ac:dyDescent="0.3">
      <c r="I325" s="87"/>
    </row>
    <row r="326" spans="1:18" ht="15" customHeight="1" x14ac:dyDescent="0.25">
      <c r="C326" s="405" t="s">
        <v>406</v>
      </c>
      <c r="D326" s="276">
        <f>L257+L258+L259+L260+L261+L262+L263+L264+L265+L295+L300+L301+L302+L303+L304+L305+L306+L307+L308+L309+L310+L311</f>
        <v>0</v>
      </c>
    </row>
    <row r="327" spans="1:18" x14ac:dyDescent="0.25">
      <c r="C327" s="406" t="s">
        <v>407</v>
      </c>
      <c r="D327" s="276">
        <f>L278+L279+L280+L281+L282+L283+L267+L269</f>
        <v>0</v>
      </c>
    </row>
    <row r="328" spans="1:18" x14ac:dyDescent="0.25">
      <c r="B328" s="249" t="s">
        <v>1106</v>
      </c>
      <c r="C328" s="277" t="s">
        <v>1162</v>
      </c>
      <c r="D328" s="276">
        <f>L302+L303+L304+L305+L306+L309</f>
        <v>0</v>
      </c>
      <c r="E328" s="77" t="str">
        <f>IF(D328&gt;1750000,"Caution: Exceeds 9% Developer Support Budget Limit","")</f>
        <v/>
      </c>
    </row>
    <row r="329" spans="1:18" ht="14.4" x14ac:dyDescent="0.3">
      <c r="C329" s="277" t="s">
        <v>854</v>
      </c>
      <c r="D329" s="276">
        <f>L302</f>
        <v>0</v>
      </c>
      <c r="E329" s="79"/>
    </row>
    <row r="330" spans="1:18" x14ac:dyDescent="0.25">
      <c r="F330" s="99"/>
      <c r="G330" s="99"/>
      <c r="H330" s="605"/>
      <c r="I330" s="605"/>
      <c r="J330" s="605"/>
      <c r="K330" s="605"/>
      <c r="L330" s="605"/>
      <c r="M330" s="605"/>
      <c r="N330" s="605"/>
      <c r="O330" s="605"/>
      <c r="P330" s="605"/>
      <c r="Q330" s="605"/>
      <c r="R330" s="605"/>
    </row>
    <row r="331" spans="1:18" s="158" customFormat="1" ht="30" customHeight="1" x14ac:dyDescent="0.25">
      <c r="A331" s="5"/>
      <c r="B331" s="57"/>
      <c r="C331" s="767" t="s">
        <v>899</v>
      </c>
      <c r="D331" s="768"/>
      <c r="E331" s="769"/>
      <c r="F331" s="202" t="s">
        <v>1003</v>
      </c>
      <c r="G331" s="52" t="s">
        <v>1604</v>
      </c>
      <c r="H331" s="52" t="s">
        <v>346</v>
      </c>
      <c r="I331" s="52" t="s">
        <v>347</v>
      </c>
      <c r="J331" s="52" t="s">
        <v>4903</v>
      </c>
      <c r="K331" s="52" t="s">
        <v>353</v>
      </c>
      <c r="L331" s="52" t="str">
        <f>IF(E242="","",E242)</f>
        <v/>
      </c>
      <c r="M331" s="52" t="str">
        <f>IF(E243="","",E243)</f>
        <v/>
      </c>
      <c r="N331" s="52" t="str">
        <f>IF(E244="","",E244)</f>
        <v/>
      </c>
      <c r="O331" s="52" t="str">
        <f>IF(E245="","",E245)</f>
        <v/>
      </c>
      <c r="P331" s="52" t="str">
        <f>IF(E246="","",E246)</f>
        <v/>
      </c>
      <c r="Q331" s="52" t="s">
        <v>900</v>
      </c>
    </row>
    <row r="332" spans="1:18" ht="14.25" customHeight="1" x14ac:dyDescent="0.25">
      <c r="A332" s="138"/>
      <c r="B332" s="792" t="s">
        <v>357</v>
      </c>
      <c r="C332" s="700" t="s">
        <v>358</v>
      </c>
      <c r="D332" s="701"/>
      <c r="E332" s="702"/>
      <c r="F332" s="271">
        <f>K251</f>
        <v>0</v>
      </c>
      <c r="G332" s="264"/>
      <c r="H332" s="263"/>
      <c r="I332" s="263"/>
      <c r="J332" s="263"/>
      <c r="K332" s="263"/>
      <c r="L332" s="263"/>
      <c r="M332" s="263"/>
      <c r="N332" s="263"/>
      <c r="O332" s="263"/>
      <c r="P332" s="263"/>
      <c r="Q332" s="267">
        <f>SUM(G332:P332)</f>
        <v>0</v>
      </c>
      <c r="R332" s="138"/>
    </row>
    <row r="333" spans="1:18" x14ac:dyDescent="0.25">
      <c r="A333" s="138"/>
      <c r="B333" s="793"/>
      <c r="C333" s="700" t="s">
        <v>359</v>
      </c>
      <c r="D333" s="701"/>
      <c r="E333" s="702"/>
      <c r="F333" s="271">
        <f>K252</f>
        <v>0</v>
      </c>
      <c r="G333" s="264"/>
      <c r="H333" s="263"/>
      <c r="I333" s="263"/>
      <c r="J333" s="263"/>
      <c r="K333" s="263"/>
      <c r="L333" s="263"/>
      <c r="M333" s="263"/>
      <c r="N333" s="263"/>
      <c r="O333" s="263"/>
      <c r="P333" s="263"/>
      <c r="Q333" s="267">
        <f>SUM(G333:P333)</f>
        <v>0</v>
      </c>
      <c r="R333" s="138"/>
    </row>
    <row r="334" spans="1:18" x14ac:dyDescent="0.25">
      <c r="A334" s="138"/>
      <c r="B334" s="793"/>
      <c r="C334" s="700" t="s">
        <v>360</v>
      </c>
      <c r="D334" s="701"/>
      <c r="E334" s="702"/>
      <c r="F334" s="271">
        <f>K253</f>
        <v>0</v>
      </c>
      <c r="G334" s="264"/>
      <c r="H334" s="263"/>
      <c r="I334" s="263"/>
      <c r="J334" s="263"/>
      <c r="K334" s="263"/>
      <c r="L334" s="263"/>
      <c r="M334" s="263"/>
      <c r="N334" s="263"/>
      <c r="O334" s="263"/>
      <c r="P334" s="263"/>
      <c r="Q334" s="267">
        <f>SUM(G334:P334)</f>
        <v>0</v>
      </c>
      <c r="R334" s="138"/>
    </row>
    <row r="335" spans="1:18" x14ac:dyDescent="0.25">
      <c r="A335" s="138"/>
      <c r="B335" s="793"/>
      <c r="C335" s="101" t="s">
        <v>404</v>
      </c>
      <c r="D335" s="102" t="str">
        <f>IF(D254="","",D254)</f>
        <v/>
      </c>
      <c r="E335" s="103"/>
      <c r="F335" s="271">
        <f>K254</f>
        <v>0</v>
      </c>
      <c r="G335" s="264"/>
      <c r="H335" s="263"/>
      <c r="I335" s="263"/>
      <c r="J335" s="263"/>
      <c r="K335" s="263"/>
      <c r="L335" s="263"/>
      <c r="M335" s="263"/>
      <c r="N335" s="263"/>
      <c r="O335" s="263"/>
      <c r="P335" s="263"/>
      <c r="Q335" s="267">
        <f>SUM(G335:P335)</f>
        <v>0</v>
      </c>
      <c r="R335" s="138"/>
    </row>
    <row r="336" spans="1:18" x14ac:dyDescent="0.25">
      <c r="A336" s="138"/>
      <c r="B336" s="794"/>
      <c r="C336" s="101" t="s">
        <v>404</v>
      </c>
      <c r="D336" s="102" t="str">
        <f>IF(D255="","",D255)</f>
        <v/>
      </c>
      <c r="E336" s="103"/>
      <c r="F336" s="271">
        <f>K255</f>
        <v>0</v>
      </c>
      <c r="G336" s="264"/>
      <c r="H336" s="268"/>
      <c r="I336" s="268"/>
      <c r="J336" s="268"/>
      <c r="K336" s="268"/>
      <c r="L336" s="587"/>
      <c r="M336" s="587"/>
      <c r="N336" s="268"/>
      <c r="O336" s="268"/>
      <c r="P336" s="268"/>
      <c r="Q336" s="267">
        <f>SUM(G336:P336)</f>
        <v>0</v>
      </c>
      <c r="R336" s="138"/>
    </row>
    <row r="337" spans="1:18" x14ac:dyDescent="0.25">
      <c r="A337" s="138"/>
      <c r="B337" s="57"/>
      <c r="C337" s="58"/>
      <c r="D337" s="59"/>
      <c r="E337" s="59"/>
      <c r="F337" s="272"/>
      <c r="G337" s="272"/>
      <c r="H337" s="273"/>
      <c r="I337" s="273"/>
      <c r="J337" s="273"/>
      <c r="K337" s="273"/>
      <c r="L337" s="273"/>
      <c r="M337" s="273"/>
      <c r="N337" s="273"/>
      <c r="O337" s="273"/>
      <c r="P337" s="273"/>
      <c r="Q337" s="274"/>
      <c r="R337" s="138"/>
    </row>
    <row r="338" spans="1:18" ht="14.25" customHeight="1" x14ac:dyDescent="0.25">
      <c r="A338" s="138"/>
      <c r="B338" s="792" t="s">
        <v>820</v>
      </c>
      <c r="C338" s="739" t="s">
        <v>361</v>
      </c>
      <c r="D338" s="740"/>
      <c r="E338" s="741"/>
      <c r="F338" s="271">
        <f t="shared" ref="F338:F346" si="35">K257</f>
        <v>0</v>
      </c>
      <c r="G338" s="264"/>
      <c r="H338" s="263"/>
      <c r="I338" s="263"/>
      <c r="J338" s="263"/>
      <c r="K338" s="263"/>
      <c r="L338" s="263"/>
      <c r="M338" s="263"/>
      <c r="N338" s="263"/>
      <c r="O338" s="263"/>
      <c r="P338" s="263"/>
      <c r="Q338" s="267">
        <f t="shared" ref="Q338:Q346" si="36">SUM(G338:P338)</f>
        <v>0</v>
      </c>
      <c r="R338" s="138"/>
    </row>
    <row r="339" spans="1:18" x14ac:dyDescent="0.25">
      <c r="A339" s="138"/>
      <c r="B339" s="793"/>
      <c r="C339" s="739" t="s">
        <v>362</v>
      </c>
      <c r="D339" s="740"/>
      <c r="E339" s="741"/>
      <c r="F339" s="271">
        <f t="shared" si="35"/>
        <v>0</v>
      </c>
      <c r="G339" s="264"/>
      <c r="H339" s="263"/>
      <c r="I339" s="263"/>
      <c r="J339" s="263"/>
      <c r="K339" s="263"/>
      <c r="L339" s="263"/>
      <c r="M339" s="263"/>
      <c r="N339" s="263"/>
      <c r="O339" s="263"/>
      <c r="P339" s="263"/>
      <c r="Q339" s="267">
        <f t="shared" si="36"/>
        <v>0</v>
      </c>
      <c r="R339" s="138"/>
    </row>
    <row r="340" spans="1:18" x14ac:dyDescent="0.25">
      <c r="A340" s="138"/>
      <c r="B340" s="793"/>
      <c r="C340" s="739" t="s">
        <v>363</v>
      </c>
      <c r="D340" s="740"/>
      <c r="E340" s="741"/>
      <c r="F340" s="271">
        <f t="shared" si="35"/>
        <v>0</v>
      </c>
      <c r="G340" s="264"/>
      <c r="H340" s="263"/>
      <c r="I340" s="263"/>
      <c r="J340" s="263"/>
      <c r="K340" s="263"/>
      <c r="L340" s="263"/>
      <c r="M340" s="263"/>
      <c r="N340" s="263"/>
      <c r="O340" s="263"/>
      <c r="P340" s="263"/>
      <c r="Q340" s="267">
        <f t="shared" si="36"/>
        <v>0</v>
      </c>
      <c r="R340" s="138"/>
    </row>
    <row r="341" spans="1:18" x14ac:dyDescent="0.25">
      <c r="A341" s="138"/>
      <c r="B341" s="793"/>
      <c r="C341" s="739" t="s">
        <v>364</v>
      </c>
      <c r="D341" s="740"/>
      <c r="E341" s="741"/>
      <c r="F341" s="271">
        <f t="shared" si="35"/>
        <v>0</v>
      </c>
      <c r="G341" s="264"/>
      <c r="H341" s="263"/>
      <c r="I341" s="263"/>
      <c r="J341" s="263"/>
      <c r="K341" s="263"/>
      <c r="L341" s="263"/>
      <c r="M341" s="263"/>
      <c r="N341" s="263"/>
      <c r="O341" s="263"/>
      <c r="P341" s="263"/>
      <c r="Q341" s="267">
        <f t="shared" si="36"/>
        <v>0</v>
      </c>
      <c r="R341" s="138"/>
    </row>
    <row r="342" spans="1:18" x14ac:dyDescent="0.25">
      <c r="A342" s="138"/>
      <c r="B342" s="793"/>
      <c r="C342" s="739" t="s">
        <v>365</v>
      </c>
      <c r="D342" s="740"/>
      <c r="E342" s="741"/>
      <c r="F342" s="271">
        <f t="shared" si="35"/>
        <v>0</v>
      </c>
      <c r="G342" s="264"/>
      <c r="H342" s="263"/>
      <c r="I342" s="263"/>
      <c r="J342" s="263"/>
      <c r="K342" s="263"/>
      <c r="L342" s="263"/>
      <c r="M342" s="263"/>
      <c r="N342" s="263"/>
      <c r="O342" s="263"/>
      <c r="P342" s="263"/>
      <c r="Q342" s="267">
        <f t="shared" si="36"/>
        <v>0</v>
      </c>
      <c r="R342" s="138"/>
    </row>
    <row r="343" spans="1:18" x14ac:dyDescent="0.25">
      <c r="A343" s="138"/>
      <c r="B343" s="793"/>
      <c r="C343" s="739" t="s">
        <v>366</v>
      </c>
      <c r="D343" s="740"/>
      <c r="E343" s="741"/>
      <c r="F343" s="271">
        <f t="shared" si="35"/>
        <v>0</v>
      </c>
      <c r="G343" s="264"/>
      <c r="H343" s="263"/>
      <c r="I343" s="263"/>
      <c r="J343" s="263"/>
      <c r="K343" s="263"/>
      <c r="L343" s="263"/>
      <c r="M343" s="263"/>
      <c r="N343" s="263"/>
      <c r="O343" s="263"/>
      <c r="P343" s="263"/>
      <c r="Q343" s="267">
        <f t="shared" si="36"/>
        <v>0</v>
      </c>
      <c r="R343" s="138"/>
    </row>
    <row r="344" spans="1:18" x14ac:dyDescent="0.25">
      <c r="A344" s="138"/>
      <c r="B344" s="793"/>
      <c r="C344" s="739" t="s">
        <v>367</v>
      </c>
      <c r="D344" s="740"/>
      <c r="E344" s="741"/>
      <c r="F344" s="271">
        <f t="shared" si="35"/>
        <v>0</v>
      </c>
      <c r="G344" s="264"/>
      <c r="H344" s="263"/>
      <c r="I344" s="263"/>
      <c r="J344" s="263"/>
      <c r="K344" s="263"/>
      <c r="L344" s="263"/>
      <c r="M344" s="263"/>
      <c r="N344" s="263"/>
      <c r="O344" s="263"/>
      <c r="P344" s="263"/>
      <c r="Q344" s="267">
        <f t="shared" si="36"/>
        <v>0</v>
      </c>
      <c r="R344" s="138"/>
    </row>
    <row r="345" spans="1:18" x14ac:dyDescent="0.25">
      <c r="A345" s="138"/>
      <c r="B345" s="793"/>
      <c r="C345" s="104" t="s">
        <v>404</v>
      </c>
      <c r="D345" s="105" t="str">
        <f>IF(D264="","",D264)</f>
        <v/>
      </c>
      <c r="E345" s="106"/>
      <c r="F345" s="271">
        <f t="shared" si="35"/>
        <v>0</v>
      </c>
      <c r="G345" s="264"/>
      <c r="H345" s="263"/>
      <c r="I345" s="263"/>
      <c r="J345" s="263"/>
      <c r="K345" s="263"/>
      <c r="L345" s="263"/>
      <c r="M345" s="263"/>
      <c r="N345" s="263"/>
      <c r="O345" s="263"/>
      <c r="P345" s="263"/>
      <c r="Q345" s="267">
        <f t="shared" si="36"/>
        <v>0</v>
      </c>
      <c r="R345" s="138"/>
    </row>
    <row r="346" spans="1:18" x14ac:dyDescent="0.25">
      <c r="A346" s="138"/>
      <c r="B346" s="794"/>
      <c r="C346" s="104" t="s">
        <v>404</v>
      </c>
      <c r="D346" s="105" t="str">
        <f>IF(D265="","",D265)</f>
        <v/>
      </c>
      <c r="E346" s="106"/>
      <c r="F346" s="271">
        <f t="shared" si="35"/>
        <v>0</v>
      </c>
      <c r="G346" s="264"/>
      <c r="H346" s="268"/>
      <c r="I346" s="268"/>
      <c r="J346" s="268"/>
      <c r="K346" s="268"/>
      <c r="L346" s="587"/>
      <c r="M346" s="587"/>
      <c r="N346" s="268"/>
      <c r="O346" s="268"/>
      <c r="P346" s="268"/>
      <c r="Q346" s="267">
        <f t="shared" si="36"/>
        <v>0</v>
      </c>
      <c r="R346" s="138"/>
    </row>
    <row r="347" spans="1:18" x14ac:dyDescent="0.25">
      <c r="A347" s="138"/>
      <c r="B347" s="57"/>
      <c r="C347" s="58"/>
      <c r="D347" s="59"/>
      <c r="E347" s="59"/>
      <c r="F347" s="272"/>
      <c r="G347" s="272"/>
      <c r="H347" s="272"/>
      <c r="I347" s="272"/>
      <c r="J347" s="272"/>
      <c r="K347" s="272"/>
      <c r="L347" s="272"/>
      <c r="M347" s="272"/>
      <c r="N347" s="272"/>
      <c r="O347" s="272"/>
      <c r="P347" s="272"/>
      <c r="Q347" s="274"/>
      <c r="R347" s="138"/>
    </row>
    <row r="348" spans="1:18" ht="14.25" customHeight="1" x14ac:dyDescent="0.25">
      <c r="A348" s="138"/>
      <c r="B348" s="792" t="s">
        <v>399</v>
      </c>
      <c r="C348" s="731" t="s">
        <v>368</v>
      </c>
      <c r="D348" s="732"/>
      <c r="E348" s="733"/>
      <c r="F348" s="271">
        <f t="shared" ref="F348:F353" si="37">K267</f>
        <v>0</v>
      </c>
      <c r="G348" s="264"/>
      <c r="H348" s="263"/>
      <c r="I348" s="263"/>
      <c r="J348" s="263"/>
      <c r="K348" s="263"/>
      <c r="L348" s="263"/>
      <c r="M348" s="263"/>
      <c r="N348" s="263"/>
      <c r="O348" s="263"/>
      <c r="P348" s="263"/>
      <c r="Q348" s="267">
        <f t="shared" ref="Q348:Q353" si="38">SUM(G348:P348)</f>
        <v>0</v>
      </c>
      <c r="R348" s="138"/>
    </row>
    <row r="349" spans="1:18" x14ac:dyDescent="0.25">
      <c r="A349" s="138"/>
      <c r="B349" s="793"/>
      <c r="C349" s="700" t="s">
        <v>369</v>
      </c>
      <c r="D349" s="701"/>
      <c r="E349" s="702"/>
      <c r="F349" s="271">
        <f t="shared" si="37"/>
        <v>0</v>
      </c>
      <c r="G349" s="264"/>
      <c r="H349" s="263"/>
      <c r="I349" s="263"/>
      <c r="J349" s="263"/>
      <c r="K349" s="263"/>
      <c r="L349" s="263"/>
      <c r="M349" s="263"/>
      <c r="N349" s="263"/>
      <c r="O349" s="263"/>
      <c r="P349" s="263"/>
      <c r="Q349" s="267">
        <f t="shared" si="38"/>
        <v>0</v>
      </c>
      <c r="R349" s="138"/>
    </row>
    <row r="350" spans="1:18" x14ac:dyDescent="0.25">
      <c r="A350" s="138"/>
      <c r="B350" s="793"/>
      <c r="C350" s="731" t="s">
        <v>370</v>
      </c>
      <c r="D350" s="732"/>
      <c r="E350" s="733"/>
      <c r="F350" s="271">
        <f t="shared" si="37"/>
        <v>0</v>
      </c>
      <c r="G350" s="264"/>
      <c r="H350" s="263"/>
      <c r="I350" s="263"/>
      <c r="J350" s="263"/>
      <c r="K350" s="263"/>
      <c r="L350" s="263"/>
      <c r="M350" s="263"/>
      <c r="N350" s="263"/>
      <c r="O350" s="263"/>
      <c r="P350" s="263"/>
      <c r="Q350" s="267">
        <f t="shared" si="38"/>
        <v>0</v>
      </c>
      <c r="R350" s="138"/>
    </row>
    <row r="351" spans="1:18" x14ac:dyDescent="0.25">
      <c r="A351" s="138"/>
      <c r="B351" s="793"/>
      <c r="C351" s="700" t="s">
        <v>997</v>
      </c>
      <c r="D351" s="701"/>
      <c r="E351" s="702"/>
      <c r="F351" s="271">
        <f t="shared" si="37"/>
        <v>0</v>
      </c>
      <c r="G351" s="264"/>
      <c r="H351" s="263"/>
      <c r="I351" s="263"/>
      <c r="J351" s="263"/>
      <c r="K351" s="263"/>
      <c r="L351" s="263"/>
      <c r="M351" s="263"/>
      <c r="N351" s="263"/>
      <c r="O351" s="263"/>
      <c r="P351" s="263"/>
      <c r="Q351" s="267">
        <f t="shared" si="38"/>
        <v>0</v>
      </c>
      <c r="R351" s="138"/>
    </row>
    <row r="352" spans="1:18" x14ac:dyDescent="0.25">
      <c r="A352" s="138"/>
      <c r="B352" s="793"/>
      <c r="C352" s="101" t="s">
        <v>404</v>
      </c>
      <c r="D352" s="102" t="str">
        <f>IF(D271="","",D271)</f>
        <v/>
      </c>
      <c r="E352" s="103"/>
      <c r="F352" s="271">
        <f t="shared" si="37"/>
        <v>0</v>
      </c>
      <c r="G352" s="264"/>
      <c r="H352" s="263"/>
      <c r="I352" s="263"/>
      <c r="J352" s="263"/>
      <c r="K352" s="263"/>
      <c r="L352" s="263"/>
      <c r="M352" s="263"/>
      <c r="N352" s="263"/>
      <c r="O352" s="263"/>
      <c r="P352" s="263"/>
      <c r="Q352" s="267">
        <f t="shared" si="38"/>
        <v>0</v>
      </c>
      <c r="R352" s="138"/>
    </row>
    <row r="353" spans="1:18" x14ac:dyDescent="0.25">
      <c r="A353" s="138"/>
      <c r="B353" s="794"/>
      <c r="C353" s="101" t="s">
        <v>404</v>
      </c>
      <c r="D353" s="102" t="str">
        <f>IF(D272="","",D272)</f>
        <v/>
      </c>
      <c r="E353" s="103"/>
      <c r="F353" s="271">
        <f t="shared" si="37"/>
        <v>0</v>
      </c>
      <c r="G353" s="264"/>
      <c r="H353" s="268"/>
      <c r="I353" s="268"/>
      <c r="J353" s="268"/>
      <c r="K353" s="268"/>
      <c r="L353" s="587"/>
      <c r="M353" s="587"/>
      <c r="N353" s="268"/>
      <c r="O353" s="268"/>
      <c r="P353" s="268"/>
      <c r="Q353" s="267">
        <f t="shared" si="38"/>
        <v>0</v>
      </c>
      <c r="R353" s="138"/>
    </row>
    <row r="354" spans="1:18" x14ac:dyDescent="0.25">
      <c r="A354" s="138"/>
      <c r="B354" s="57"/>
      <c r="C354" s="58"/>
      <c r="D354" s="59"/>
      <c r="E354" s="59"/>
      <c r="F354" s="272"/>
      <c r="G354" s="272"/>
      <c r="H354" s="272"/>
      <c r="I354" s="272"/>
      <c r="J354" s="272"/>
      <c r="K354" s="272"/>
      <c r="L354" s="272"/>
      <c r="M354" s="272"/>
      <c r="N354" s="272"/>
      <c r="O354" s="272"/>
      <c r="P354" s="272"/>
      <c r="Q354" s="274"/>
      <c r="R354" s="138"/>
    </row>
    <row r="355" spans="1:18" ht="14.25" customHeight="1" x14ac:dyDescent="0.25">
      <c r="A355" s="138"/>
      <c r="B355" s="792" t="s">
        <v>400</v>
      </c>
      <c r="C355" s="700" t="s">
        <v>371</v>
      </c>
      <c r="D355" s="701"/>
      <c r="E355" s="702"/>
      <c r="F355" s="271">
        <f t="shared" ref="F355:F368" si="39">K274</f>
        <v>0</v>
      </c>
      <c r="G355" s="264"/>
      <c r="H355" s="263"/>
      <c r="I355" s="263"/>
      <c r="J355" s="263"/>
      <c r="K355" s="263"/>
      <c r="L355" s="263"/>
      <c r="M355" s="263"/>
      <c r="N355" s="263"/>
      <c r="O355" s="263"/>
      <c r="P355" s="263"/>
      <c r="Q355" s="267">
        <f t="shared" ref="Q355:Q368" si="40">SUM(G355:P355)</f>
        <v>0</v>
      </c>
      <c r="R355" s="138"/>
    </row>
    <row r="356" spans="1:18" x14ac:dyDescent="0.25">
      <c r="A356" s="138"/>
      <c r="B356" s="793"/>
      <c r="C356" s="700" t="s">
        <v>372</v>
      </c>
      <c r="D356" s="701"/>
      <c r="E356" s="702"/>
      <c r="F356" s="271">
        <f t="shared" si="39"/>
        <v>0</v>
      </c>
      <c r="G356" s="264"/>
      <c r="H356" s="263"/>
      <c r="I356" s="263"/>
      <c r="J356" s="263"/>
      <c r="K356" s="263"/>
      <c r="L356" s="263"/>
      <c r="M356" s="263"/>
      <c r="N356" s="263"/>
      <c r="O356" s="263"/>
      <c r="P356" s="263"/>
      <c r="Q356" s="267">
        <f t="shared" si="40"/>
        <v>0</v>
      </c>
      <c r="R356" s="138"/>
    </row>
    <row r="357" spans="1:18" x14ac:dyDescent="0.25">
      <c r="A357" s="138"/>
      <c r="B357" s="793"/>
      <c r="C357" s="700" t="s">
        <v>373</v>
      </c>
      <c r="D357" s="701"/>
      <c r="E357" s="702"/>
      <c r="F357" s="271">
        <f t="shared" si="39"/>
        <v>0</v>
      </c>
      <c r="G357" s="264"/>
      <c r="H357" s="263"/>
      <c r="I357" s="263"/>
      <c r="J357" s="263"/>
      <c r="K357" s="263"/>
      <c r="L357" s="263"/>
      <c r="M357" s="263"/>
      <c r="N357" s="263"/>
      <c r="O357" s="263"/>
      <c r="P357" s="263"/>
      <c r="Q357" s="267">
        <f t="shared" si="40"/>
        <v>0</v>
      </c>
      <c r="R357" s="138"/>
    </row>
    <row r="358" spans="1:18" x14ac:dyDescent="0.25">
      <c r="A358" s="138"/>
      <c r="B358" s="793"/>
      <c r="C358" s="700" t="s">
        <v>405</v>
      </c>
      <c r="D358" s="701"/>
      <c r="E358" s="702"/>
      <c r="F358" s="271">
        <f t="shared" si="39"/>
        <v>0</v>
      </c>
      <c r="G358" s="264"/>
      <c r="H358" s="263"/>
      <c r="I358" s="263"/>
      <c r="J358" s="263"/>
      <c r="K358" s="263"/>
      <c r="L358" s="263"/>
      <c r="M358" s="263"/>
      <c r="N358" s="263"/>
      <c r="O358" s="263"/>
      <c r="P358" s="263"/>
      <c r="Q358" s="267">
        <f t="shared" si="40"/>
        <v>0</v>
      </c>
      <c r="R358" s="138"/>
    </row>
    <row r="359" spans="1:18" x14ac:dyDescent="0.25">
      <c r="A359" s="138"/>
      <c r="B359" s="793"/>
      <c r="C359" s="731" t="s">
        <v>374</v>
      </c>
      <c r="D359" s="732"/>
      <c r="E359" s="733"/>
      <c r="F359" s="271">
        <f t="shared" si="39"/>
        <v>0</v>
      </c>
      <c r="G359" s="264"/>
      <c r="H359" s="263"/>
      <c r="I359" s="263"/>
      <c r="J359" s="263"/>
      <c r="K359" s="263"/>
      <c r="L359" s="263"/>
      <c r="M359" s="263"/>
      <c r="N359" s="263"/>
      <c r="O359" s="263"/>
      <c r="P359" s="263"/>
      <c r="Q359" s="267">
        <f t="shared" si="40"/>
        <v>0</v>
      </c>
      <c r="R359" s="138"/>
    </row>
    <row r="360" spans="1:18" x14ac:dyDescent="0.25">
      <c r="A360" s="138"/>
      <c r="B360" s="793"/>
      <c r="C360" s="731" t="s">
        <v>375</v>
      </c>
      <c r="D360" s="732"/>
      <c r="E360" s="733"/>
      <c r="F360" s="271">
        <f t="shared" si="39"/>
        <v>0</v>
      </c>
      <c r="G360" s="264"/>
      <c r="H360" s="263"/>
      <c r="I360" s="263"/>
      <c r="J360" s="263"/>
      <c r="K360" s="263"/>
      <c r="L360" s="263"/>
      <c r="M360" s="263"/>
      <c r="N360" s="263"/>
      <c r="O360" s="263"/>
      <c r="P360" s="263"/>
      <c r="Q360" s="267">
        <f t="shared" si="40"/>
        <v>0</v>
      </c>
      <c r="R360" s="138"/>
    </row>
    <row r="361" spans="1:18" x14ac:dyDescent="0.25">
      <c r="A361" s="138"/>
      <c r="B361" s="793"/>
      <c r="C361" s="731" t="s">
        <v>376</v>
      </c>
      <c r="D361" s="732"/>
      <c r="E361" s="733"/>
      <c r="F361" s="271">
        <f t="shared" si="39"/>
        <v>0</v>
      </c>
      <c r="G361" s="264"/>
      <c r="H361" s="263"/>
      <c r="I361" s="263"/>
      <c r="J361" s="263"/>
      <c r="K361" s="263"/>
      <c r="L361" s="263"/>
      <c r="M361" s="263"/>
      <c r="N361" s="263"/>
      <c r="O361" s="263"/>
      <c r="P361" s="263"/>
      <c r="Q361" s="267">
        <f t="shared" si="40"/>
        <v>0</v>
      </c>
      <c r="R361" s="138"/>
    </row>
    <row r="362" spans="1:18" x14ac:dyDescent="0.25">
      <c r="A362" s="138"/>
      <c r="B362" s="793"/>
      <c r="C362" s="731" t="s">
        <v>377</v>
      </c>
      <c r="D362" s="732"/>
      <c r="E362" s="733"/>
      <c r="F362" s="271">
        <f t="shared" si="39"/>
        <v>0</v>
      </c>
      <c r="G362" s="264"/>
      <c r="H362" s="263"/>
      <c r="I362" s="263"/>
      <c r="J362" s="263"/>
      <c r="K362" s="263"/>
      <c r="L362" s="263"/>
      <c r="M362" s="263"/>
      <c r="N362" s="263"/>
      <c r="O362" s="263"/>
      <c r="P362" s="263"/>
      <c r="Q362" s="267">
        <f t="shared" si="40"/>
        <v>0</v>
      </c>
      <c r="R362" s="138"/>
    </row>
    <row r="363" spans="1:18" x14ac:dyDescent="0.25">
      <c r="A363" s="138"/>
      <c r="B363" s="793"/>
      <c r="C363" s="731" t="s">
        <v>378</v>
      </c>
      <c r="D363" s="732"/>
      <c r="E363" s="733"/>
      <c r="F363" s="271">
        <f t="shared" si="39"/>
        <v>0</v>
      </c>
      <c r="G363" s="264"/>
      <c r="H363" s="263"/>
      <c r="I363" s="263"/>
      <c r="J363" s="263"/>
      <c r="K363" s="263"/>
      <c r="L363" s="263"/>
      <c r="M363" s="263"/>
      <c r="N363" s="263"/>
      <c r="O363" s="263"/>
      <c r="P363" s="263"/>
      <c r="Q363" s="267">
        <f t="shared" si="40"/>
        <v>0</v>
      </c>
      <c r="R363" s="138"/>
    </row>
    <row r="364" spans="1:18" x14ac:dyDescent="0.25">
      <c r="A364" s="138"/>
      <c r="B364" s="793"/>
      <c r="C364" s="731" t="s">
        <v>379</v>
      </c>
      <c r="D364" s="732"/>
      <c r="E364" s="733"/>
      <c r="F364" s="271">
        <f t="shared" si="39"/>
        <v>0</v>
      </c>
      <c r="G364" s="264"/>
      <c r="H364" s="263"/>
      <c r="I364" s="263"/>
      <c r="J364" s="263"/>
      <c r="K364" s="263"/>
      <c r="L364" s="263"/>
      <c r="M364" s="263"/>
      <c r="N364" s="263"/>
      <c r="O364" s="263"/>
      <c r="P364" s="263"/>
      <c r="Q364" s="267">
        <f t="shared" si="40"/>
        <v>0</v>
      </c>
      <c r="R364" s="138"/>
    </row>
    <row r="365" spans="1:18" x14ac:dyDescent="0.25">
      <c r="A365" s="138"/>
      <c r="B365" s="793"/>
      <c r="C365" s="700" t="s">
        <v>380</v>
      </c>
      <c r="D365" s="701"/>
      <c r="E365" s="702"/>
      <c r="F365" s="271">
        <f t="shared" si="39"/>
        <v>0</v>
      </c>
      <c r="G365" s="264"/>
      <c r="H365" s="263"/>
      <c r="I365" s="263"/>
      <c r="J365" s="263"/>
      <c r="K365" s="263"/>
      <c r="L365" s="263"/>
      <c r="M365" s="263"/>
      <c r="N365" s="263"/>
      <c r="O365" s="263"/>
      <c r="P365" s="263"/>
      <c r="Q365" s="267">
        <f t="shared" si="40"/>
        <v>0</v>
      </c>
      <c r="R365" s="138"/>
    </row>
    <row r="366" spans="1:18" x14ac:dyDescent="0.25">
      <c r="A366" s="138"/>
      <c r="B366" s="793"/>
      <c r="C366" s="700" t="s">
        <v>381</v>
      </c>
      <c r="D366" s="701"/>
      <c r="E366" s="702"/>
      <c r="F366" s="271">
        <f t="shared" si="39"/>
        <v>0</v>
      </c>
      <c r="G366" s="264"/>
      <c r="H366" s="263"/>
      <c r="I366" s="263"/>
      <c r="J366" s="263"/>
      <c r="K366" s="263"/>
      <c r="L366" s="263"/>
      <c r="M366" s="263"/>
      <c r="N366" s="263"/>
      <c r="O366" s="263"/>
      <c r="P366" s="263"/>
      <c r="Q366" s="267">
        <f t="shared" si="40"/>
        <v>0</v>
      </c>
      <c r="R366" s="138"/>
    </row>
    <row r="367" spans="1:18" x14ac:dyDescent="0.25">
      <c r="A367" s="138"/>
      <c r="B367" s="793"/>
      <c r="C367" s="101" t="s">
        <v>404</v>
      </c>
      <c r="D367" s="102" t="str">
        <f>IF(D286="","",D286)</f>
        <v/>
      </c>
      <c r="E367" s="103"/>
      <c r="F367" s="271">
        <f t="shared" si="39"/>
        <v>0</v>
      </c>
      <c r="G367" s="264"/>
      <c r="H367" s="263"/>
      <c r="I367" s="263"/>
      <c r="J367" s="263"/>
      <c r="K367" s="263"/>
      <c r="L367" s="263"/>
      <c r="M367" s="263"/>
      <c r="N367" s="263"/>
      <c r="O367" s="263"/>
      <c r="P367" s="263"/>
      <c r="Q367" s="267">
        <f t="shared" si="40"/>
        <v>0</v>
      </c>
      <c r="R367" s="138"/>
    </row>
    <row r="368" spans="1:18" x14ac:dyDescent="0.25">
      <c r="A368" s="138"/>
      <c r="B368" s="794"/>
      <c r="C368" s="101" t="s">
        <v>404</v>
      </c>
      <c r="D368" s="102" t="str">
        <f>IF(D287="","",D287)</f>
        <v/>
      </c>
      <c r="E368" s="103"/>
      <c r="F368" s="271">
        <f t="shared" si="39"/>
        <v>0</v>
      </c>
      <c r="G368" s="264"/>
      <c r="H368" s="268"/>
      <c r="I368" s="268"/>
      <c r="J368" s="268"/>
      <c r="K368" s="268"/>
      <c r="L368" s="587"/>
      <c r="M368" s="587"/>
      <c r="N368" s="268"/>
      <c r="O368" s="268"/>
      <c r="P368" s="268"/>
      <c r="Q368" s="267">
        <f t="shared" si="40"/>
        <v>0</v>
      </c>
      <c r="R368" s="138"/>
    </row>
    <row r="369" spans="1:18" x14ac:dyDescent="0.25">
      <c r="A369" s="138"/>
      <c r="B369" s="57"/>
      <c r="C369" s="58"/>
      <c r="D369" s="59"/>
      <c r="E369" s="59"/>
      <c r="F369" s="272"/>
      <c r="G369" s="272"/>
      <c r="H369" s="272"/>
      <c r="I369" s="272"/>
      <c r="J369" s="272"/>
      <c r="K369" s="272"/>
      <c r="L369" s="272"/>
      <c r="M369" s="272"/>
      <c r="N369" s="272"/>
      <c r="O369" s="272"/>
      <c r="P369" s="272"/>
      <c r="Q369" s="274"/>
      <c r="R369" s="138"/>
    </row>
    <row r="370" spans="1:18" ht="14.25" customHeight="1" x14ac:dyDescent="0.25">
      <c r="A370" s="138"/>
      <c r="B370" s="792" t="s">
        <v>545</v>
      </c>
      <c r="C370" s="700" t="s">
        <v>382</v>
      </c>
      <c r="D370" s="701"/>
      <c r="E370" s="702"/>
      <c r="F370" s="271">
        <f t="shared" ref="F370:F379" si="41">K289</f>
        <v>0</v>
      </c>
      <c r="G370" s="264"/>
      <c r="H370" s="263"/>
      <c r="I370" s="263"/>
      <c r="J370" s="263"/>
      <c r="K370" s="263"/>
      <c r="L370" s="263"/>
      <c r="M370" s="263"/>
      <c r="N370" s="263"/>
      <c r="O370" s="263"/>
      <c r="P370" s="263"/>
      <c r="Q370" s="267">
        <f t="shared" ref="Q370:Q379" si="42">SUM(G370:P370)</f>
        <v>0</v>
      </c>
      <c r="R370" s="138"/>
    </row>
    <row r="371" spans="1:18" x14ac:dyDescent="0.25">
      <c r="A371" s="138"/>
      <c r="B371" s="793"/>
      <c r="C371" s="700" t="s">
        <v>383</v>
      </c>
      <c r="D371" s="701"/>
      <c r="E371" s="702"/>
      <c r="F371" s="271">
        <f t="shared" si="41"/>
        <v>0</v>
      </c>
      <c r="G371" s="264"/>
      <c r="H371" s="263"/>
      <c r="I371" s="263"/>
      <c r="J371" s="263"/>
      <c r="K371" s="263"/>
      <c r="L371" s="263"/>
      <c r="M371" s="263"/>
      <c r="N371" s="263"/>
      <c r="O371" s="263"/>
      <c r="P371" s="263"/>
      <c r="Q371" s="267">
        <f t="shared" si="42"/>
        <v>0</v>
      </c>
      <c r="R371" s="138"/>
    </row>
    <row r="372" spans="1:18" x14ac:dyDescent="0.25">
      <c r="A372" s="138"/>
      <c r="B372" s="793"/>
      <c r="C372" s="700" t="s">
        <v>384</v>
      </c>
      <c r="D372" s="701"/>
      <c r="E372" s="702"/>
      <c r="F372" s="271">
        <f t="shared" si="41"/>
        <v>0</v>
      </c>
      <c r="G372" s="264"/>
      <c r="H372" s="263"/>
      <c r="I372" s="263"/>
      <c r="J372" s="263"/>
      <c r="K372" s="263"/>
      <c r="L372" s="263"/>
      <c r="M372" s="263"/>
      <c r="N372" s="263"/>
      <c r="O372" s="263"/>
      <c r="P372" s="263"/>
      <c r="Q372" s="267">
        <f t="shared" si="42"/>
        <v>0</v>
      </c>
      <c r="R372" s="138"/>
    </row>
    <row r="373" spans="1:18" x14ac:dyDescent="0.25">
      <c r="A373" s="138"/>
      <c r="B373" s="793"/>
      <c r="C373" s="700" t="s">
        <v>385</v>
      </c>
      <c r="D373" s="701"/>
      <c r="E373" s="702"/>
      <c r="F373" s="271">
        <f t="shared" si="41"/>
        <v>0</v>
      </c>
      <c r="G373" s="264"/>
      <c r="H373" s="263"/>
      <c r="I373" s="263"/>
      <c r="J373" s="263"/>
      <c r="K373" s="263"/>
      <c r="L373" s="263"/>
      <c r="M373" s="263"/>
      <c r="N373" s="263"/>
      <c r="O373" s="263"/>
      <c r="P373" s="263"/>
      <c r="Q373" s="267">
        <f t="shared" si="42"/>
        <v>0</v>
      </c>
      <c r="R373" s="138"/>
    </row>
    <row r="374" spans="1:18" x14ac:dyDescent="0.25">
      <c r="A374" s="138"/>
      <c r="B374" s="793"/>
      <c r="C374" s="700" t="s">
        <v>386</v>
      </c>
      <c r="D374" s="701"/>
      <c r="E374" s="702"/>
      <c r="F374" s="271">
        <f t="shared" si="41"/>
        <v>0</v>
      </c>
      <c r="G374" s="264"/>
      <c r="H374" s="263"/>
      <c r="I374" s="263"/>
      <c r="J374" s="263"/>
      <c r="K374" s="263"/>
      <c r="L374" s="263"/>
      <c r="M374" s="263"/>
      <c r="N374" s="263"/>
      <c r="O374" s="263"/>
      <c r="P374" s="263"/>
      <c r="Q374" s="267">
        <f t="shared" si="42"/>
        <v>0</v>
      </c>
      <c r="R374" s="138"/>
    </row>
    <row r="375" spans="1:18" x14ac:dyDescent="0.25">
      <c r="A375" s="138"/>
      <c r="B375" s="793"/>
      <c r="C375" s="700" t="s">
        <v>387</v>
      </c>
      <c r="D375" s="701"/>
      <c r="E375" s="702"/>
      <c r="F375" s="271">
        <f t="shared" si="41"/>
        <v>0</v>
      </c>
      <c r="G375" s="264"/>
      <c r="H375" s="263"/>
      <c r="I375" s="263"/>
      <c r="J375" s="263"/>
      <c r="K375" s="263"/>
      <c r="L375" s="263"/>
      <c r="M375" s="263"/>
      <c r="N375" s="263"/>
      <c r="O375" s="263"/>
      <c r="P375" s="263"/>
      <c r="Q375" s="267">
        <f t="shared" si="42"/>
        <v>0</v>
      </c>
      <c r="R375" s="138"/>
    </row>
    <row r="376" spans="1:18" x14ac:dyDescent="0.25">
      <c r="A376" s="138"/>
      <c r="B376" s="793"/>
      <c r="C376" s="739" t="s">
        <v>388</v>
      </c>
      <c r="D376" s="740"/>
      <c r="E376" s="741"/>
      <c r="F376" s="271">
        <f t="shared" si="41"/>
        <v>0</v>
      </c>
      <c r="G376" s="264"/>
      <c r="H376" s="263"/>
      <c r="I376" s="263"/>
      <c r="J376" s="263"/>
      <c r="K376" s="263"/>
      <c r="L376" s="263"/>
      <c r="M376" s="263"/>
      <c r="N376" s="263"/>
      <c r="O376" s="263"/>
      <c r="P376" s="263"/>
      <c r="Q376" s="267">
        <f t="shared" si="42"/>
        <v>0</v>
      </c>
      <c r="R376" s="138"/>
    </row>
    <row r="377" spans="1:18" x14ac:dyDescent="0.25">
      <c r="A377" s="138"/>
      <c r="B377" s="793"/>
      <c r="C377" s="700" t="s">
        <v>942</v>
      </c>
      <c r="D377" s="701"/>
      <c r="E377" s="702"/>
      <c r="F377" s="271">
        <f t="shared" si="41"/>
        <v>0</v>
      </c>
      <c r="G377" s="264"/>
      <c r="H377" s="263"/>
      <c r="I377" s="263"/>
      <c r="J377" s="263"/>
      <c r="K377" s="263"/>
      <c r="L377" s="263"/>
      <c r="M377" s="263"/>
      <c r="N377" s="263"/>
      <c r="O377" s="263"/>
      <c r="P377" s="263"/>
      <c r="Q377" s="267">
        <f t="shared" si="42"/>
        <v>0</v>
      </c>
      <c r="R377" s="138"/>
    </row>
    <row r="378" spans="1:18" x14ac:dyDescent="0.25">
      <c r="A378" s="138"/>
      <c r="B378" s="793"/>
      <c r="C378" s="101" t="s">
        <v>404</v>
      </c>
      <c r="D378" s="102" t="str">
        <f>IF(D297="","",D297)</f>
        <v/>
      </c>
      <c r="E378" s="103"/>
      <c r="F378" s="271">
        <f t="shared" si="41"/>
        <v>0</v>
      </c>
      <c r="G378" s="264"/>
      <c r="H378" s="263"/>
      <c r="I378" s="263"/>
      <c r="J378" s="263"/>
      <c r="K378" s="263"/>
      <c r="L378" s="263"/>
      <c r="M378" s="263"/>
      <c r="N378" s="263"/>
      <c r="O378" s="263"/>
      <c r="P378" s="263"/>
      <c r="Q378" s="267">
        <f t="shared" si="42"/>
        <v>0</v>
      </c>
      <c r="R378" s="138"/>
    </row>
    <row r="379" spans="1:18" x14ac:dyDescent="0.25">
      <c r="A379" s="138"/>
      <c r="B379" s="794"/>
      <c r="C379" s="101" t="s">
        <v>404</v>
      </c>
      <c r="D379" s="102" t="str">
        <f>IF(D298="","",D298)</f>
        <v/>
      </c>
      <c r="E379" s="103"/>
      <c r="F379" s="271">
        <f t="shared" si="41"/>
        <v>0</v>
      </c>
      <c r="G379" s="264"/>
      <c r="H379" s="268"/>
      <c r="I379" s="268"/>
      <c r="J379" s="268"/>
      <c r="K379" s="268"/>
      <c r="L379" s="587"/>
      <c r="M379" s="587"/>
      <c r="N379" s="268"/>
      <c r="O379" s="268"/>
      <c r="P379" s="268"/>
      <c r="Q379" s="267">
        <f t="shared" si="42"/>
        <v>0</v>
      </c>
      <c r="R379" s="138"/>
    </row>
    <row r="380" spans="1:18" x14ac:dyDescent="0.25">
      <c r="A380" s="138"/>
      <c r="B380" s="57"/>
      <c r="C380" s="58"/>
      <c r="D380" s="59"/>
      <c r="E380" s="59"/>
      <c r="F380" s="272"/>
      <c r="G380" s="272"/>
      <c r="H380" s="272"/>
      <c r="I380" s="272"/>
      <c r="J380" s="272"/>
      <c r="K380" s="272"/>
      <c r="L380" s="272"/>
      <c r="M380" s="272"/>
      <c r="N380" s="272"/>
      <c r="O380" s="272"/>
      <c r="P380" s="272"/>
      <c r="Q380" s="274"/>
      <c r="R380" s="138"/>
    </row>
    <row r="381" spans="1:18" ht="14.25" customHeight="1" x14ac:dyDescent="0.25">
      <c r="A381" s="138"/>
      <c r="B381" s="792" t="s">
        <v>401</v>
      </c>
      <c r="C381" s="739" t="s">
        <v>389</v>
      </c>
      <c r="D381" s="740"/>
      <c r="E381" s="741"/>
      <c r="F381" s="271">
        <f t="shared" ref="F381:F392" si="43">K300</f>
        <v>0</v>
      </c>
      <c r="G381" s="264"/>
      <c r="H381" s="263"/>
      <c r="I381" s="263"/>
      <c r="J381" s="263"/>
      <c r="K381" s="263"/>
      <c r="L381" s="263"/>
      <c r="M381" s="263"/>
      <c r="N381" s="263"/>
      <c r="O381" s="263"/>
      <c r="P381" s="263"/>
      <c r="Q381" s="267">
        <f t="shared" ref="Q381:Q392" si="44">SUM(G381:P381)</f>
        <v>0</v>
      </c>
      <c r="R381" s="138"/>
    </row>
    <row r="382" spans="1:18" x14ac:dyDescent="0.25">
      <c r="A382" s="138"/>
      <c r="B382" s="793"/>
      <c r="C382" s="739" t="s">
        <v>390</v>
      </c>
      <c r="D382" s="740"/>
      <c r="E382" s="741"/>
      <c r="F382" s="271">
        <f t="shared" si="43"/>
        <v>0</v>
      </c>
      <c r="G382" s="264"/>
      <c r="H382" s="263"/>
      <c r="I382" s="263"/>
      <c r="J382" s="263"/>
      <c r="K382" s="263"/>
      <c r="L382" s="263"/>
      <c r="M382" s="263"/>
      <c r="N382" s="263"/>
      <c r="O382" s="263"/>
      <c r="P382" s="263"/>
      <c r="Q382" s="267">
        <f t="shared" si="44"/>
        <v>0</v>
      </c>
      <c r="R382" s="138"/>
    </row>
    <row r="383" spans="1:18" x14ac:dyDescent="0.25">
      <c r="A383" s="138"/>
      <c r="B383" s="793"/>
      <c r="C383" s="736" t="s">
        <v>856</v>
      </c>
      <c r="D383" s="737"/>
      <c r="E383" s="738"/>
      <c r="F383" s="271">
        <f t="shared" si="43"/>
        <v>0</v>
      </c>
      <c r="G383" s="264"/>
      <c r="H383" s="263"/>
      <c r="I383" s="263"/>
      <c r="J383" s="263"/>
      <c r="K383" s="263"/>
      <c r="L383" s="263"/>
      <c r="M383" s="263"/>
      <c r="N383" s="263"/>
      <c r="O383" s="263"/>
      <c r="P383" s="263"/>
      <c r="Q383" s="267">
        <f t="shared" si="44"/>
        <v>0</v>
      </c>
      <c r="R383" s="138"/>
    </row>
    <row r="384" spans="1:18" x14ac:dyDescent="0.25">
      <c r="A384" s="138"/>
      <c r="B384" s="793"/>
      <c r="C384" s="739" t="s">
        <v>915</v>
      </c>
      <c r="D384" s="740"/>
      <c r="E384" s="741"/>
      <c r="F384" s="271">
        <f t="shared" si="43"/>
        <v>0</v>
      </c>
      <c r="G384" s="264"/>
      <c r="H384" s="263"/>
      <c r="I384" s="263"/>
      <c r="J384" s="263"/>
      <c r="K384" s="263"/>
      <c r="L384" s="263"/>
      <c r="M384" s="263"/>
      <c r="N384" s="263"/>
      <c r="O384" s="263"/>
      <c r="P384" s="263"/>
      <c r="Q384" s="267">
        <f t="shared" si="44"/>
        <v>0</v>
      </c>
      <c r="R384" s="138"/>
    </row>
    <row r="385" spans="1:18" x14ac:dyDescent="0.25">
      <c r="A385" s="138"/>
      <c r="B385" s="793"/>
      <c r="C385" s="84" t="s">
        <v>857</v>
      </c>
      <c r="D385" s="85"/>
      <c r="E385" s="86"/>
      <c r="F385" s="271">
        <f t="shared" si="43"/>
        <v>0</v>
      </c>
      <c r="G385" s="264"/>
      <c r="H385" s="263"/>
      <c r="I385" s="263"/>
      <c r="J385" s="263"/>
      <c r="K385" s="263"/>
      <c r="L385" s="263"/>
      <c r="M385" s="263"/>
      <c r="N385" s="263"/>
      <c r="O385" s="263"/>
      <c r="P385" s="263"/>
      <c r="Q385" s="267">
        <f t="shared" si="44"/>
        <v>0</v>
      </c>
      <c r="R385" s="138"/>
    </row>
    <row r="386" spans="1:18" x14ac:dyDescent="0.25">
      <c r="A386" s="138"/>
      <c r="B386" s="793"/>
      <c r="C386" s="84" t="s">
        <v>858</v>
      </c>
      <c r="D386" s="85"/>
      <c r="E386" s="86"/>
      <c r="F386" s="271">
        <f t="shared" si="43"/>
        <v>0</v>
      </c>
      <c r="G386" s="264"/>
      <c r="H386" s="263"/>
      <c r="I386" s="263"/>
      <c r="J386" s="263"/>
      <c r="K386" s="263"/>
      <c r="L386" s="263"/>
      <c r="M386" s="263"/>
      <c r="N386" s="263"/>
      <c r="O386" s="263"/>
      <c r="P386" s="263"/>
      <c r="Q386" s="267">
        <f t="shared" si="44"/>
        <v>0</v>
      </c>
      <c r="R386" s="138"/>
    </row>
    <row r="387" spans="1:18" x14ac:dyDescent="0.25">
      <c r="A387" s="138"/>
      <c r="B387" s="793"/>
      <c r="C387" s="84" t="s">
        <v>859</v>
      </c>
      <c r="D387" s="85"/>
      <c r="E387" s="86"/>
      <c r="F387" s="271">
        <f t="shared" si="43"/>
        <v>0</v>
      </c>
      <c r="G387" s="264"/>
      <c r="H387" s="263"/>
      <c r="I387" s="263"/>
      <c r="J387" s="263"/>
      <c r="K387" s="263"/>
      <c r="L387" s="263"/>
      <c r="M387" s="263"/>
      <c r="N387" s="263"/>
      <c r="O387" s="263"/>
      <c r="P387" s="263"/>
      <c r="Q387" s="267">
        <f t="shared" si="44"/>
        <v>0</v>
      </c>
      <c r="R387" s="138"/>
    </row>
    <row r="388" spans="1:18" x14ac:dyDescent="0.25">
      <c r="A388" s="138"/>
      <c r="B388" s="793"/>
      <c r="C388" s="739" t="s">
        <v>391</v>
      </c>
      <c r="D388" s="740"/>
      <c r="E388" s="741"/>
      <c r="F388" s="271">
        <f t="shared" si="43"/>
        <v>0</v>
      </c>
      <c r="G388" s="264"/>
      <c r="H388" s="263"/>
      <c r="I388" s="263"/>
      <c r="J388" s="263"/>
      <c r="K388" s="263"/>
      <c r="L388" s="263"/>
      <c r="M388" s="263"/>
      <c r="N388" s="263"/>
      <c r="O388" s="263"/>
      <c r="P388" s="263"/>
      <c r="Q388" s="267">
        <f t="shared" si="44"/>
        <v>0</v>
      </c>
      <c r="R388" s="138"/>
    </row>
    <row r="389" spans="1:18" x14ac:dyDescent="0.25">
      <c r="A389" s="138"/>
      <c r="B389" s="793"/>
      <c r="C389" s="739" t="s">
        <v>392</v>
      </c>
      <c r="D389" s="740"/>
      <c r="E389" s="741"/>
      <c r="F389" s="271">
        <f t="shared" si="43"/>
        <v>0</v>
      </c>
      <c r="G389" s="264"/>
      <c r="H389" s="263"/>
      <c r="I389" s="263"/>
      <c r="J389" s="263"/>
      <c r="K389" s="263"/>
      <c r="L389" s="263"/>
      <c r="M389" s="263"/>
      <c r="N389" s="263"/>
      <c r="O389" s="263"/>
      <c r="P389" s="263"/>
      <c r="Q389" s="267">
        <f t="shared" si="44"/>
        <v>0</v>
      </c>
      <c r="R389" s="138"/>
    </row>
    <row r="390" spans="1:18" x14ac:dyDescent="0.25">
      <c r="A390" s="138"/>
      <c r="B390" s="793"/>
      <c r="C390" s="739" t="s">
        <v>943</v>
      </c>
      <c r="D390" s="740"/>
      <c r="E390" s="741"/>
      <c r="F390" s="271">
        <f t="shared" si="43"/>
        <v>0</v>
      </c>
      <c r="G390" s="264"/>
      <c r="H390" s="263"/>
      <c r="I390" s="263"/>
      <c r="J390" s="263"/>
      <c r="K390" s="263"/>
      <c r="L390" s="263"/>
      <c r="M390" s="263"/>
      <c r="N390" s="263"/>
      <c r="O390" s="263"/>
      <c r="P390" s="263"/>
      <c r="Q390" s="267">
        <f t="shared" si="44"/>
        <v>0</v>
      </c>
      <c r="R390" s="138"/>
    </row>
    <row r="391" spans="1:18" x14ac:dyDescent="0.25">
      <c r="A391" s="138"/>
      <c r="B391" s="793"/>
      <c r="C391" s="104" t="s">
        <v>404</v>
      </c>
      <c r="D391" s="105" t="str">
        <f>IF(D310="","",D310)</f>
        <v/>
      </c>
      <c r="E391" s="106"/>
      <c r="F391" s="271">
        <f t="shared" si="43"/>
        <v>0</v>
      </c>
      <c r="G391" s="264"/>
      <c r="H391" s="263"/>
      <c r="I391" s="263"/>
      <c r="J391" s="263"/>
      <c r="K391" s="263"/>
      <c r="L391" s="263"/>
      <c r="M391" s="263"/>
      <c r="N391" s="263"/>
      <c r="O391" s="263"/>
      <c r="P391" s="263"/>
      <c r="Q391" s="267">
        <f t="shared" si="44"/>
        <v>0</v>
      </c>
      <c r="R391" s="138"/>
    </row>
    <row r="392" spans="1:18" x14ac:dyDescent="0.25">
      <c r="A392" s="138"/>
      <c r="B392" s="794"/>
      <c r="C392" s="104" t="s">
        <v>404</v>
      </c>
      <c r="D392" s="105" t="str">
        <f>IF(D311="","",D311)</f>
        <v/>
      </c>
      <c r="E392" s="106"/>
      <c r="F392" s="271">
        <f t="shared" si="43"/>
        <v>0</v>
      </c>
      <c r="G392" s="264"/>
      <c r="H392" s="268"/>
      <c r="I392" s="268"/>
      <c r="J392" s="268"/>
      <c r="K392" s="268"/>
      <c r="L392" s="587"/>
      <c r="M392" s="587"/>
      <c r="N392" s="268"/>
      <c r="O392" s="268"/>
      <c r="P392" s="268"/>
      <c r="Q392" s="267">
        <f t="shared" si="44"/>
        <v>0</v>
      </c>
      <c r="R392" s="138"/>
    </row>
    <row r="393" spans="1:18" x14ac:dyDescent="0.25">
      <c r="A393" s="138"/>
      <c r="B393" s="57"/>
      <c r="C393" s="58"/>
      <c r="D393" s="59"/>
      <c r="E393" s="59"/>
      <c r="F393" s="272"/>
      <c r="G393" s="272"/>
      <c r="H393" s="272"/>
      <c r="I393" s="272"/>
      <c r="J393" s="272"/>
      <c r="K393" s="272"/>
      <c r="L393" s="272"/>
      <c r="M393" s="272"/>
      <c r="N393" s="272"/>
      <c r="O393" s="272"/>
      <c r="P393" s="272"/>
      <c r="Q393" s="274"/>
      <c r="R393" s="138"/>
    </row>
    <row r="394" spans="1:18" ht="14.25" customHeight="1" x14ac:dyDescent="0.25">
      <c r="A394" s="138"/>
      <c r="B394" s="792" t="s">
        <v>402</v>
      </c>
      <c r="C394" s="700" t="s">
        <v>393</v>
      </c>
      <c r="D394" s="701"/>
      <c r="E394" s="702"/>
      <c r="F394" s="271">
        <f>K313</f>
        <v>0</v>
      </c>
      <c r="G394" s="264"/>
      <c r="H394" s="263"/>
      <c r="I394" s="263"/>
      <c r="J394" s="263"/>
      <c r="K394" s="263"/>
      <c r="L394" s="263"/>
      <c r="M394" s="263"/>
      <c r="N394" s="263"/>
      <c r="O394" s="263"/>
      <c r="P394" s="263"/>
      <c r="Q394" s="267">
        <f>SUM(G394:P394)</f>
        <v>0</v>
      </c>
      <c r="R394" s="138"/>
    </row>
    <row r="395" spans="1:18" x14ac:dyDescent="0.25">
      <c r="A395" s="138"/>
      <c r="B395" s="793"/>
      <c r="C395" s="700" t="s">
        <v>394</v>
      </c>
      <c r="D395" s="701"/>
      <c r="E395" s="702"/>
      <c r="F395" s="271">
        <f>K314</f>
        <v>0</v>
      </c>
      <c r="G395" s="264"/>
      <c r="H395" s="263"/>
      <c r="I395" s="263"/>
      <c r="J395" s="263"/>
      <c r="K395" s="263"/>
      <c r="L395" s="263"/>
      <c r="M395" s="263"/>
      <c r="N395" s="263"/>
      <c r="O395" s="263"/>
      <c r="P395" s="263"/>
      <c r="Q395" s="267">
        <f>SUM(G395:P395)</f>
        <v>0</v>
      </c>
      <c r="R395" s="138"/>
    </row>
    <row r="396" spans="1:18" x14ac:dyDescent="0.25">
      <c r="A396" s="138"/>
      <c r="B396" s="793"/>
      <c r="C396" s="700" t="s">
        <v>395</v>
      </c>
      <c r="D396" s="701"/>
      <c r="E396" s="702"/>
      <c r="F396" s="271">
        <f>K315</f>
        <v>0</v>
      </c>
      <c r="G396" s="264"/>
      <c r="H396" s="263"/>
      <c r="I396" s="263"/>
      <c r="J396" s="263"/>
      <c r="K396" s="263"/>
      <c r="L396" s="263"/>
      <c r="M396" s="263"/>
      <c r="N396" s="263"/>
      <c r="O396" s="263"/>
      <c r="P396" s="263"/>
      <c r="Q396" s="267">
        <f>SUM(G396:P396)</f>
        <v>0</v>
      </c>
      <c r="R396" s="138"/>
    </row>
    <row r="397" spans="1:18" x14ac:dyDescent="0.25">
      <c r="A397" s="138"/>
      <c r="B397" s="793"/>
      <c r="C397" s="101" t="s">
        <v>404</v>
      </c>
      <c r="D397" s="102" t="str">
        <f>IF(D316="","",D316)</f>
        <v/>
      </c>
      <c r="E397" s="103"/>
      <c r="F397" s="271">
        <f>K316</f>
        <v>0</v>
      </c>
      <c r="G397" s="264"/>
      <c r="H397" s="263"/>
      <c r="I397" s="263"/>
      <c r="J397" s="263"/>
      <c r="K397" s="263"/>
      <c r="L397" s="263"/>
      <c r="M397" s="263"/>
      <c r="N397" s="263"/>
      <c r="O397" s="263"/>
      <c r="P397" s="263"/>
      <c r="Q397" s="267">
        <f>SUM(G397:P397)</f>
        <v>0</v>
      </c>
      <c r="R397" s="138"/>
    </row>
    <row r="398" spans="1:18" x14ac:dyDescent="0.25">
      <c r="A398" s="138"/>
      <c r="B398" s="794"/>
      <c r="C398" s="101" t="s">
        <v>404</v>
      </c>
      <c r="D398" s="102" t="str">
        <f>IF(D317="","",D317)</f>
        <v/>
      </c>
      <c r="E398" s="103"/>
      <c r="F398" s="271">
        <f>K317</f>
        <v>0</v>
      </c>
      <c r="G398" s="264"/>
      <c r="H398" s="268"/>
      <c r="I398" s="268"/>
      <c r="J398" s="268"/>
      <c r="K398" s="268"/>
      <c r="L398" s="587"/>
      <c r="M398" s="587"/>
      <c r="N398" s="268"/>
      <c r="O398" s="268"/>
      <c r="P398" s="268"/>
      <c r="Q398" s="267">
        <f>SUM(G398:P398)</f>
        <v>0</v>
      </c>
      <c r="R398" s="138"/>
    </row>
    <row r="399" spans="1:18" x14ac:dyDescent="0.25">
      <c r="A399" s="138"/>
      <c r="B399" s="57"/>
      <c r="C399" s="58"/>
      <c r="D399" s="59"/>
      <c r="E399" s="59"/>
      <c r="F399" s="272"/>
      <c r="G399" s="272"/>
      <c r="H399" s="272"/>
      <c r="I399" s="272"/>
      <c r="J399" s="272"/>
      <c r="K399" s="272"/>
      <c r="L399" s="272"/>
      <c r="M399" s="272"/>
      <c r="N399" s="272"/>
      <c r="O399" s="272"/>
      <c r="P399" s="272"/>
      <c r="Q399" s="274"/>
      <c r="R399" s="138"/>
    </row>
    <row r="400" spans="1:18" ht="14.25" customHeight="1" x14ac:dyDescent="0.25">
      <c r="A400" s="138"/>
      <c r="B400" s="792" t="s">
        <v>403</v>
      </c>
      <c r="C400" s="700" t="s">
        <v>396</v>
      </c>
      <c r="D400" s="701"/>
      <c r="E400" s="702"/>
      <c r="F400" s="271">
        <f>K319</f>
        <v>0</v>
      </c>
      <c r="G400" s="264"/>
      <c r="H400" s="263"/>
      <c r="I400" s="263"/>
      <c r="J400" s="263"/>
      <c r="K400" s="263"/>
      <c r="L400" s="263"/>
      <c r="M400" s="263"/>
      <c r="N400" s="263"/>
      <c r="O400" s="263"/>
      <c r="P400" s="263"/>
      <c r="Q400" s="267">
        <f>SUM(G400:P400)</f>
        <v>0</v>
      </c>
      <c r="R400" s="138"/>
    </row>
    <row r="401" spans="1:19" x14ac:dyDescent="0.25">
      <c r="A401" s="138"/>
      <c r="B401" s="793"/>
      <c r="C401" s="700" t="s">
        <v>397</v>
      </c>
      <c r="D401" s="701"/>
      <c r="E401" s="702"/>
      <c r="F401" s="271">
        <f>K320</f>
        <v>0</v>
      </c>
      <c r="G401" s="264"/>
      <c r="H401" s="263"/>
      <c r="I401" s="263"/>
      <c r="J401" s="263"/>
      <c r="K401" s="263"/>
      <c r="L401" s="263"/>
      <c r="M401" s="263"/>
      <c r="N401" s="263"/>
      <c r="O401" s="263"/>
      <c r="P401" s="263"/>
      <c r="Q401" s="267">
        <f>SUM(G401:P401)</f>
        <v>0</v>
      </c>
      <c r="R401" s="138"/>
    </row>
    <row r="402" spans="1:19" x14ac:dyDescent="0.25">
      <c r="A402" s="138"/>
      <c r="B402" s="793"/>
      <c r="C402" s="101" t="s">
        <v>404</v>
      </c>
      <c r="D402" s="102" t="str">
        <f>IF(D321="","",D321)</f>
        <v/>
      </c>
      <c r="E402" s="103"/>
      <c r="F402" s="271">
        <f>K321</f>
        <v>0</v>
      </c>
      <c r="G402" s="264"/>
      <c r="H402" s="263"/>
      <c r="I402" s="263"/>
      <c r="J402" s="263"/>
      <c r="K402" s="263"/>
      <c r="L402" s="263"/>
      <c r="M402" s="263"/>
      <c r="N402" s="263"/>
      <c r="O402" s="263"/>
      <c r="P402" s="263"/>
      <c r="Q402" s="267">
        <f>SUM(G402:P402)</f>
        <v>0</v>
      </c>
      <c r="R402" s="138"/>
    </row>
    <row r="403" spans="1:19" x14ac:dyDescent="0.25">
      <c r="A403" s="138"/>
      <c r="B403" s="794"/>
      <c r="C403" s="101" t="s">
        <v>404</v>
      </c>
      <c r="D403" s="102" t="str">
        <f>IF(D322="","",D322)</f>
        <v/>
      </c>
      <c r="E403" s="103"/>
      <c r="F403" s="271">
        <f>K322</f>
        <v>0</v>
      </c>
      <c r="G403" s="264"/>
      <c r="H403" s="268"/>
      <c r="I403" s="268"/>
      <c r="J403" s="268"/>
      <c r="K403" s="268"/>
      <c r="L403" s="587"/>
      <c r="M403" s="587"/>
      <c r="N403" s="268"/>
      <c r="O403" s="268"/>
      <c r="P403" s="268"/>
      <c r="Q403" s="267">
        <f>SUM(G403:P403)</f>
        <v>0</v>
      </c>
      <c r="R403" s="138"/>
    </row>
    <row r="404" spans="1:19" x14ac:dyDescent="0.25">
      <c r="A404" s="138"/>
      <c r="B404" s="57"/>
      <c r="C404" s="58"/>
      <c r="D404" s="59"/>
      <c r="E404" s="59"/>
      <c r="F404" s="272"/>
      <c r="G404" s="272"/>
      <c r="H404" s="272"/>
      <c r="I404" s="272"/>
      <c r="J404" s="272"/>
      <c r="K404" s="272"/>
      <c r="L404" s="272"/>
      <c r="M404" s="272"/>
      <c r="N404" s="272"/>
      <c r="O404" s="272"/>
      <c r="P404" s="272"/>
      <c r="Q404" s="274"/>
      <c r="R404" s="138"/>
    </row>
    <row r="405" spans="1:19" x14ac:dyDescent="0.25">
      <c r="A405" s="138"/>
      <c r="C405" s="751" t="s">
        <v>398</v>
      </c>
      <c r="D405" s="752"/>
      <c r="E405" s="753"/>
      <c r="F405" s="275"/>
      <c r="G405" s="275">
        <f t="shared" ref="G405:Q405" si="45">SUM(G332:G404)</f>
        <v>0</v>
      </c>
      <c r="H405" s="270">
        <f t="shared" ref="H405:I405" si="46">SUM(H332:H404)</f>
        <v>0</v>
      </c>
      <c r="I405" s="270">
        <f t="shared" si="46"/>
        <v>0</v>
      </c>
      <c r="J405" s="270">
        <f>SUM(J332:J404)</f>
        <v>0</v>
      </c>
      <c r="K405" s="270">
        <f>SUM(K332:K404)</f>
        <v>0</v>
      </c>
      <c r="L405" s="270">
        <f>SUM(L332:L404)</f>
        <v>0</v>
      </c>
      <c r="M405" s="270">
        <f>SUM(M332:M404)</f>
        <v>0</v>
      </c>
      <c r="N405" s="270">
        <f t="shared" si="45"/>
        <v>0</v>
      </c>
      <c r="O405" s="270">
        <f t="shared" si="45"/>
        <v>0</v>
      </c>
      <c r="P405" s="270">
        <f t="shared" si="45"/>
        <v>0</v>
      </c>
      <c r="Q405" s="270">
        <f t="shared" si="45"/>
        <v>0</v>
      </c>
      <c r="R405" s="138"/>
    </row>
    <row r="406" spans="1:19" x14ac:dyDescent="0.25">
      <c r="A406" s="138"/>
      <c r="C406" s="88"/>
      <c r="D406" s="88"/>
      <c r="E406" s="88"/>
      <c r="F406" s="100"/>
      <c r="G406" s="77" t="str">
        <f>IF(G405&lt;&gt;G237,"Error","")</f>
        <v/>
      </c>
      <c r="H406" s="100" t="str">
        <f>IF(H405&lt;&gt;G238,"Error","")</f>
        <v/>
      </c>
      <c r="I406" s="100" t="str">
        <f>IF(I405&lt;&gt;G239,"Error","")</f>
        <v/>
      </c>
      <c r="J406" s="100" t="str">
        <f>IF(J405&lt;&gt;G240,"Error","")</f>
        <v/>
      </c>
      <c r="K406" s="100" t="str">
        <f>IF(K405&lt;&gt;G241,"Error","")</f>
        <v/>
      </c>
      <c r="L406" s="100" t="str">
        <f>IF(L405&lt;&gt;G242,"Error","")</f>
        <v/>
      </c>
      <c r="M406" s="100" t="str">
        <f>IF(M405&lt;&gt;G243,"Error","")</f>
        <v/>
      </c>
      <c r="N406" s="100" t="str">
        <f>IF(N405&lt;&gt;G244,"Error","")</f>
        <v/>
      </c>
      <c r="O406" s="100" t="str">
        <f>IF(O405&lt;&gt;G245,"Error","")</f>
        <v/>
      </c>
      <c r="P406" s="100" t="str">
        <f>IF(P405&lt;&gt;G246,"Error","")</f>
        <v/>
      </c>
      <c r="Q406" s="88"/>
      <c r="R406" s="138"/>
    </row>
    <row r="407" spans="1:19" ht="27.75" customHeight="1" x14ac:dyDescent="0.25">
      <c r="A407" s="138"/>
      <c r="C407" s="780" t="s">
        <v>411</v>
      </c>
      <c r="D407" s="781"/>
      <c r="E407" s="781"/>
      <c r="F407" s="781"/>
      <c r="G407" s="781"/>
      <c r="H407" s="781"/>
      <c r="I407" s="781"/>
      <c r="J407" s="782"/>
      <c r="K407" s="19"/>
      <c r="L407" s="19"/>
    </row>
    <row r="408" spans="1:19" ht="99.9" customHeight="1" x14ac:dyDescent="0.25">
      <c r="A408" s="138"/>
      <c r="C408" s="748"/>
      <c r="D408" s="749"/>
      <c r="E408" s="749"/>
      <c r="F408" s="749"/>
      <c r="G408" s="749"/>
      <c r="H408" s="749"/>
      <c r="I408" s="749"/>
      <c r="J408" s="750"/>
    </row>
    <row r="409" spans="1:19" x14ac:dyDescent="0.25">
      <c r="A409" s="138"/>
      <c r="C409" s="223"/>
      <c r="D409" s="223"/>
      <c r="E409" s="223"/>
      <c r="F409" s="223"/>
      <c r="G409" s="223"/>
      <c r="H409" s="223"/>
      <c r="I409" s="223"/>
      <c r="J409" s="223"/>
    </row>
    <row r="410" spans="1:19" ht="15" customHeight="1" x14ac:dyDescent="0.25">
      <c r="A410" s="138"/>
      <c r="C410" s="780" t="s">
        <v>1600</v>
      </c>
      <c r="D410" s="781"/>
      <c r="E410" s="781"/>
      <c r="F410" s="781"/>
      <c r="G410" s="781"/>
      <c r="H410" s="781"/>
      <c r="I410" s="781"/>
      <c r="J410" s="782"/>
      <c r="K410" s="19"/>
      <c r="L410" s="19"/>
    </row>
    <row r="411" spans="1:19" ht="99.9" customHeight="1" x14ac:dyDescent="0.25">
      <c r="C411" s="748"/>
      <c r="D411" s="749"/>
      <c r="E411" s="749"/>
      <c r="F411" s="749"/>
      <c r="G411" s="749"/>
      <c r="H411" s="749"/>
      <c r="I411" s="749"/>
      <c r="J411" s="750"/>
    </row>
    <row r="412" spans="1:19" x14ac:dyDescent="0.25">
      <c r="C412" s="223"/>
      <c r="D412" s="223"/>
      <c r="E412" s="223"/>
      <c r="F412" s="223"/>
      <c r="G412" s="223"/>
      <c r="H412" s="223"/>
      <c r="I412" s="223"/>
      <c r="J412" s="223"/>
    </row>
    <row r="413" spans="1:19" x14ac:dyDescent="0.25">
      <c r="C413" s="216"/>
      <c r="D413" s="216"/>
      <c r="E413" s="216"/>
      <c r="F413" s="216"/>
      <c r="G413" s="216"/>
      <c r="H413" s="216"/>
      <c r="I413" s="216"/>
      <c r="J413" s="216"/>
      <c r="S413" s="5"/>
    </row>
    <row r="414" spans="1:19" s="143" customFormat="1" ht="24.9" customHeight="1" x14ac:dyDescent="0.25">
      <c r="A414" s="465" t="s">
        <v>1419</v>
      </c>
      <c r="B414" s="134"/>
      <c r="C414" s="134"/>
      <c r="D414" s="134"/>
      <c r="E414" s="134"/>
      <c r="F414" s="134"/>
      <c r="G414" s="134"/>
      <c r="H414" s="134"/>
      <c r="I414" s="134"/>
      <c r="J414" s="134"/>
      <c r="K414" s="134"/>
      <c r="L414" s="134"/>
      <c r="M414" s="134"/>
      <c r="N414" s="134"/>
      <c r="O414" s="134"/>
      <c r="P414" s="134"/>
      <c r="Q414" s="134"/>
      <c r="R414" s="134"/>
      <c r="S414" s="134"/>
    </row>
    <row r="415" spans="1:19" x14ac:dyDescent="0.25">
      <c r="C415" s="48" t="s">
        <v>1163</v>
      </c>
      <c r="G415" s="385"/>
    </row>
    <row r="416" spans="1:19" x14ac:dyDescent="0.25">
      <c r="C416" s="48" t="s">
        <v>1164</v>
      </c>
      <c r="G416" s="385"/>
    </row>
    <row r="417" spans="1:18" x14ac:dyDescent="0.25">
      <c r="C417" s="48" t="s">
        <v>582</v>
      </c>
      <c r="G417" s="385"/>
    </row>
    <row r="418" spans="1:18" x14ac:dyDescent="0.25">
      <c r="C418" s="48" t="s">
        <v>1165</v>
      </c>
      <c r="G418" s="385"/>
      <c r="H418" s="34" t="str">
        <f>IF(G418="Yes","Approval Date","")</f>
        <v/>
      </c>
      <c r="I418" s="138"/>
    </row>
    <row r="419" spans="1:18" x14ac:dyDescent="0.25">
      <c r="C419" s="48" t="s">
        <v>1280</v>
      </c>
      <c r="G419" s="385"/>
      <c r="H419" s="34" t="str">
        <f>IF(G418="Yes","# Historic Projects","")</f>
        <v/>
      </c>
      <c r="I419" s="138"/>
    </row>
    <row r="421" spans="1:18" s="143" customFormat="1" ht="24.9" customHeight="1" x14ac:dyDescent="0.25">
      <c r="A421" s="465" t="s">
        <v>420</v>
      </c>
      <c r="B421" s="134"/>
      <c r="C421" s="134"/>
      <c r="D421" s="134"/>
      <c r="E421" s="134"/>
      <c r="F421" s="134"/>
      <c r="G421" s="134"/>
      <c r="H421" s="134"/>
      <c r="I421" s="134"/>
      <c r="J421" s="134"/>
      <c r="K421" s="134"/>
      <c r="L421" s="134"/>
      <c r="M421" s="134"/>
      <c r="N421" s="134"/>
      <c r="O421" s="134"/>
      <c r="P421" s="134"/>
      <c r="Q421" s="134"/>
      <c r="R421" s="134"/>
    </row>
    <row r="422" spans="1:18" s="142" customFormat="1" ht="27.6" x14ac:dyDescent="0.25">
      <c r="A422" s="20"/>
      <c r="B422" s="20"/>
      <c r="C422" s="20"/>
      <c r="D422" s="20"/>
      <c r="E422" s="20"/>
      <c r="F422" s="670" t="s">
        <v>169</v>
      </c>
      <c r="G422" s="670" t="s">
        <v>458</v>
      </c>
      <c r="H422" s="670" t="s">
        <v>459</v>
      </c>
      <c r="I422" s="670" t="s">
        <v>151</v>
      </c>
      <c r="J422" s="52" t="s">
        <v>1184</v>
      </c>
      <c r="K422" s="52" t="s">
        <v>1420</v>
      </c>
      <c r="L422" s="5"/>
      <c r="M422" s="5"/>
      <c r="N422" s="5"/>
      <c r="O422" s="5"/>
      <c r="P422" s="20"/>
      <c r="Q422" s="20"/>
      <c r="R422" s="20"/>
    </row>
    <row r="423" spans="1:18" x14ac:dyDescent="0.25">
      <c r="B423" s="799" t="s">
        <v>1183</v>
      </c>
      <c r="C423" s="700" t="s">
        <v>412</v>
      </c>
      <c r="D423" s="701"/>
      <c r="E423" s="702"/>
      <c r="F423" s="263"/>
      <c r="G423" s="263"/>
      <c r="H423" s="263"/>
      <c r="I423" s="267">
        <f t="shared" ref="I423:I432" si="47">SUM(F423:H423)</f>
        <v>0</v>
      </c>
      <c r="J423" s="267" t="e">
        <f>I423/'Project Details'!$C$226</f>
        <v>#DIV/0!</v>
      </c>
      <c r="K423" s="267" t="e">
        <f t="shared" ref="K423:K432" si="48">I423/$C$45</f>
        <v>#DIV/0!</v>
      </c>
    </row>
    <row r="424" spans="1:18" x14ac:dyDescent="0.25">
      <c r="B424" s="800"/>
      <c r="C424" s="700" t="s">
        <v>413</v>
      </c>
      <c r="D424" s="701"/>
      <c r="E424" s="702"/>
      <c r="F424" s="263"/>
      <c r="G424" s="263"/>
      <c r="H424" s="263"/>
      <c r="I424" s="267">
        <f t="shared" si="47"/>
        <v>0</v>
      </c>
      <c r="J424" s="267" t="e">
        <f>I424/'Project Details'!$C$226</f>
        <v>#DIV/0!</v>
      </c>
      <c r="K424" s="267" t="e">
        <f t="shared" si="48"/>
        <v>#DIV/0!</v>
      </c>
    </row>
    <row r="425" spans="1:18" x14ac:dyDescent="0.25">
      <c r="B425" s="800"/>
      <c r="C425" s="700" t="s">
        <v>414</v>
      </c>
      <c r="D425" s="701"/>
      <c r="E425" s="702"/>
      <c r="F425" s="263"/>
      <c r="G425" s="263"/>
      <c r="H425" s="263"/>
      <c r="I425" s="267">
        <f t="shared" si="47"/>
        <v>0</v>
      </c>
      <c r="J425" s="267" t="e">
        <f>I425/'Project Details'!$C$226</f>
        <v>#DIV/0!</v>
      </c>
      <c r="K425" s="267" t="e">
        <f t="shared" si="48"/>
        <v>#DIV/0!</v>
      </c>
    </row>
    <row r="426" spans="1:18" x14ac:dyDescent="0.25">
      <c r="B426" s="800"/>
      <c r="C426" s="700" t="s">
        <v>415</v>
      </c>
      <c r="D426" s="701"/>
      <c r="E426" s="702"/>
      <c r="F426" s="263"/>
      <c r="G426" s="263"/>
      <c r="H426" s="263"/>
      <c r="I426" s="267">
        <f t="shared" si="47"/>
        <v>0</v>
      </c>
      <c r="J426" s="267" t="e">
        <f>I426/'Project Details'!$C$226</f>
        <v>#DIV/0!</v>
      </c>
      <c r="K426" s="267" t="e">
        <f t="shared" si="48"/>
        <v>#DIV/0!</v>
      </c>
    </row>
    <row r="427" spans="1:18" x14ac:dyDescent="0.25">
      <c r="B427" s="800"/>
      <c r="C427" s="700" t="s">
        <v>416</v>
      </c>
      <c r="D427" s="701"/>
      <c r="E427" s="702"/>
      <c r="F427" s="263"/>
      <c r="G427" s="263"/>
      <c r="H427" s="263"/>
      <c r="I427" s="267">
        <f t="shared" si="47"/>
        <v>0</v>
      </c>
      <c r="J427" s="267" t="e">
        <f>I427/'Project Details'!$C$226</f>
        <v>#DIV/0!</v>
      </c>
      <c r="K427" s="267" t="e">
        <f t="shared" si="48"/>
        <v>#DIV/0!</v>
      </c>
    </row>
    <row r="428" spans="1:18" x14ac:dyDescent="0.25">
      <c r="B428" s="800"/>
      <c r="C428" s="700" t="s">
        <v>417</v>
      </c>
      <c r="D428" s="701"/>
      <c r="E428" s="702"/>
      <c r="F428" s="263"/>
      <c r="G428" s="263"/>
      <c r="H428" s="263"/>
      <c r="I428" s="267">
        <f t="shared" si="47"/>
        <v>0</v>
      </c>
      <c r="J428" s="267" t="e">
        <f>I428/'Project Details'!$C$226</f>
        <v>#DIV/0!</v>
      </c>
      <c r="K428" s="267" t="e">
        <f t="shared" si="48"/>
        <v>#DIV/0!</v>
      </c>
    </row>
    <row r="429" spans="1:18" x14ac:dyDescent="0.25">
      <c r="B429" s="800"/>
      <c r="C429" s="700" t="s">
        <v>418</v>
      </c>
      <c r="D429" s="701"/>
      <c r="E429" s="702"/>
      <c r="F429" s="263"/>
      <c r="G429" s="263"/>
      <c r="H429" s="263"/>
      <c r="I429" s="267">
        <f t="shared" si="47"/>
        <v>0</v>
      </c>
      <c r="J429" s="267" t="e">
        <f>I429/'Project Details'!$C$226</f>
        <v>#DIV/0!</v>
      </c>
      <c r="K429" s="267" t="e">
        <f t="shared" si="48"/>
        <v>#DIV/0!</v>
      </c>
    </row>
    <row r="430" spans="1:18" x14ac:dyDescent="0.25">
      <c r="B430" s="800"/>
      <c r="C430" s="700" t="s">
        <v>419</v>
      </c>
      <c r="D430" s="701"/>
      <c r="E430" s="702"/>
      <c r="F430" s="263"/>
      <c r="G430" s="263"/>
      <c r="H430" s="263"/>
      <c r="I430" s="267">
        <f t="shared" si="47"/>
        <v>0</v>
      </c>
      <c r="J430" s="267" t="e">
        <f>I430/'Project Details'!$C$226</f>
        <v>#DIV/0!</v>
      </c>
      <c r="K430" s="267" t="e">
        <f t="shared" si="48"/>
        <v>#DIV/0!</v>
      </c>
    </row>
    <row r="431" spans="1:18" x14ac:dyDescent="0.25">
      <c r="B431" s="800"/>
      <c r="C431" s="9" t="s">
        <v>131</v>
      </c>
      <c r="D431" s="734"/>
      <c r="E431" s="735"/>
      <c r="F431" s="263"/>
      <c r="G431" s="263"/>
      <c r="H431" s="263"/>
      <c r="I431" s="267">
        <f t="shared" si="47"/>
        <v>0</v>
      </c>
      <c r="J431" s="267" t="e">
        <f>I431/'Project Details'!$C$226</f>
        <v>#DIV/0!</v>
      </c>
      <c r="K431" s="267" t="e">
        <f t="shared" si="48"/>
        <v>#DIV/0!</v>
      </c>
      <c r="M431" s="251"/>
      <c r="N431" s="251"/>
      <c r="O431" s="251"/>
      <c r="P431" s="251"/>
      <c r="Q431" s="251"/>
    </row>
    <row r="432" spans="1:18" x14ac:dyDescent="0.25">
      <c r="B432" s="801"/>
      <c r="C432" s="9" t="s">
        <v>131</v>
      </c>
      <c r="D432" s="734"/>
      <c r="E432" s="735"/>
      <c r="F432" s="263"/>
      <c r="G432" s="263"/>
      <c r="H432" s="263"/>
      <c r="I432" s="267">
        <f t="shared" si="47"/>
        <v>0</v>
      </c>
      <c r="J432" s="267" t="e">
        <f>I432/'Project Details'!$C$226</f>
        <v>#DIV/0!</v>
      </c>
      <c r="K432" s="267" t="e">
        <f t="shared" si="48"/>
        <v>#DIV/0!</v>
      </c>
      <c r="M432" s="251"/>
      <c r="N432" s="251"/>
      <c r="O432" s="251"/>
      <c r="P432" s="251"/>
      <c r="Q432" s="251"/>
    </row>
    <row r="433" spans="1:18" x14ac:dyDescent="0.25">
      <c r="B433" s="20"/>
      <c r="C433" s="754" t="s">
        <v>1186</v>
      </c>
      <c r="D433" s="755"/>
      <c r="E433" s="756"/>
      <c r="F433" s="282">
        <f>SUM(F423:F432)</f>
        <v>0</v>
      </c>
      <c r="G433" s="282">
        <f>SUM(G423:G432)</f>
        <v>0</v>
      </c>
      <c r="H433" s="282">
        <f>SUM(H423:H432)</f>
        <v>0</v>
      </c>
      <c r="I433" s="282">
        <f>SUM(I423:I432)</f>
        <v>0</v>
      </c>
      <c r="J433" s="286" t="str">
        <f>IF(I433&lt;&gt;Q348+Q350,"ERROR On Site Improvements in Construction Cost Detail Does Not Match Budget","")</f>
        <v/>
      </c>
      <c r="K433" s="287"/>
    </row>
    <row r="434" spans="1:18" x14ac:dyDescent="0.25">
      <c r="F434" s="288"/>
      <c r="G434" s="288"/>
      <c r="H434" s="288"/>
      <c r="I434" s="288"/>
      <c r="J434" s="284"/>
      <c r="K434" s="284"/>
    </row>
    <row r="435" spans="1:18" x14ac:dyDescent="0.25">
      <c r="B435" s="795" t="s">
        <v>1185</v>
      </c>
      <c r="C435" s="700" t="s">
        <v>412</v>
      </c>
      <c r="D435" s="701"/>
      <c r="E435" s="702"/>
      <c r="F435" s="263"/>
      <c r="G435" s="263"/>
      <c r="H435" s="263"/>
      <c r="I435" s="267">
        <f t="shared" ref="I435:I442" si="49">SUM(F435:H435)</f>
        <v>0</v>
      </c>
      <c r="J435" s="267" t="e">
        <f>I435/'Project Details'!$C$226</f>
        <v>#DIV/0!</v>
      </c>
      <c r="K435" s="267" t="e">
        <f t="shared" ref="K435:K442" si="50">I435/$C$45</f>
        <v>#DIV/0!</v>
      </c>
    </row>
    <row r="436" spans="1:18" x14ac:dyDescent="0.25">
      <c r="A436" s="138"/>
      <c r="B436" s="797"/>
      <c r="C436" s="700" t="s">
        <v>413</v>
      </c>
      <c r="D436" s="701"/>
      <c r="E436" s="702"/>
      <c r="F436" s="263"/>
      <c r="G436" s="263"/>
      <c r="H436" s="263"/>
      <c r="I436" s="267">
        <f t="shared" si="49"/>
        <v>0</v>
      </c>
      <c r="J436" s="267" t="e">
        <f>I436/'Project Details'!$C$226</f>
        <v>#DIV/0!</v>
      </c>
      <c r="K436" s="267" t="e">
        <f t="shared" si="50"/>
        <v>#DIV/0!</v>
      </c>
      <c r="R436" s="138"/>
    </row>
    <row r="437" spans="1:18" x14ac:dyDescent="0.25">
      <c r="A437" s="138"/>
      <c r="B437" s="797"/>
      <c r="C437" s="700" t="s">
        <v>414</v>
      </c>
      <c r="D437" s="701"/>
      <c r="E437" s="702"/>
      <c r="F437" s="263"/>
      <c r="G437" s="263"/>
      <c r="H437" s="263"/>
      <c r="I437" s="267">
        <f t="shared" si="49"/>
        <v>0</v>
      </c>
      <c r="J437" s="267" t="e">
        <f>I437/'Project Details'!$C$226</f>
        <v>#DIV/0!</v>
      </c>
      <c r="K437" s="267" t="e">
        <f t="shared" si="50"/>
        <v>#DIV/0!</v>
      </c>
      <c r="R437" s="138"/>
    </row>
    <row r="438" spans="1:18" x14ac:dyDescent="0.25">
      <c r="A438" s="138"/>
      <c r="B438" s="797"/>
      <c r="C438" s="700" t="s">
        <v>415</v>
      </c>
      <c r="D438" s="701"/>
      <c r="E438" s="702"/>
      <c r="F438" s="263"/>
      <c r="G438" s="263"/>
      <c r="H438" s="263"/>
      <c r="I438" s="267">
        <f t="shared" si="49"/>
        <v>0</v>
      </c>
      <c r="J438" s="267" t="e">
        <f>I438/'Project Details'!$C$226</f>
        <v>#DIV/0!</v>
      </c>
      <c r="K438" s="267" t="e">
        <f t="shared" si="50"/>
        <v>#DIV/0!</v>
      </c>
      <c r="R438" s="138"/>
    </row>
    <row r="439" spans="1:18" x14ac:dyDescent="0.25">
      <c r="A439" s="138"/>
      <c r="B439" s="797"/>
      <c r="C439" s="700" t="s">
        <v>416</v>
      </c>
      <c r="D439" s="701"/>
      <c r="E439" s="702"/>
      <c r="F439" s="263"/>
      <c r="G439" s="263"/>
      <c r="H439" s="263"/>
      <c r="I439" s="267">
        <f t="shared" si="49"/>
        <v>0</v>
      </c>
      <c r="J439" s="267" t="e">
        <f>I439/'Project Details'!$C$226</f>
        <v>#DIV/0!</v>
      </c>
      <c r="K439" s="267" t="e">
        <f t="shared" si="50"/>
        <v>#DIV/0!</v>
      </c>
      <c r="R439" s="138"/>
    </row>
    <row r="440" spans="1:18" x14ac:dyDescent="0.25">
      <c r="A440" s="138"/>
      <c r="B440" s="797"/>
      <c r="C440" s="700" t="s">
        <v>419</v>
      </c>
      <c r="D440" s="701"/>
      <c r="E440" s="702"/>
      <c r="F440" s="263"/>
      <c r="G440" s="263"/>
      <c r="H440" s="263"/>
      <c r="I440" s="267">
        <f t="shared" si="49"/>
        <v>0</v>
      </c>
      <c r="J440" s="267" t="e">
        <f>I440/'Project Details'!$C$226</f>
        <v>#DIV/0!</v>
      </c>
      <c r="K440" s="267" t="e">
        <f t="shared" si="50"/>
        <v>#DIV/0!</v>
      </c>
      <c r="R440" s="138"/>
    </row>
    <row r="441" spans="1:18" x14ac:dyDescent="0.25">
      <c r="A441" s="138"/>
      <c r="B441" s="797"/>
      <c r="C441" s="9" t="s">
        <v>131</v>
      </c>
      <c r="D441" s="734"/>
      <c r="E441" s="735"/>
      <c r="F441" s="263"/>
      <c r="G441" s="263"/>
      <c r="H441" s="263"/>
      <c r="I441" s="267">
        <f t="shared" si="49"/>
        <v>0</v>
      </c>
      <c r="J441" s="267" t="e">
        <f>I441/'Project Details'!$C$226</f>
        <v>#DIV/0!</v>
      </c>
      <c r="K441" s="267" t="e">
        <f t="shared" si="50"/>
        <v>#DIV/0!</v>
      </c>
      <c r="M441" s="251"/>
      <c r="N441" s="251"/>
      <c r="O441" s="251"/>
      <c r="P441" s="251"/>
      <c r="Q441" s="251"/>
      <c r="R441" s="138"/>
    </row>
    <row r="442" spans="1:18" x14ac:dyDescent="0.25">
      <c r="A442" s="138"/>
      <c r="B442" s="798"/>
      <c r="C442" s="9" t="s">
        <v>131</v>
      </c>
      <c r="D442" s="734"/>
      <c r="E442" s="735"/>
      <c r="F442" s="263"/>
      <c r="G442" s="263"/>
      <c r="H442" s="263"/>
      <c r="I442" s="267">
        <f t="shared" si="49"/>
        <v>0</v>
      </c>
      <c r="J442" s="267" t="e">
        <f>I442/'Project Details'!$C$226</f>
        <v>#DIV/0!</v>
      </c>
      <c r="K442" s="267" t="e">
        <f t="shared" si="50"/>
        <v>#DIV/0!</v>
      </c>
      <c r="M442" s="251"/>
      <c r="N442" s="251"/>
      <c r="O442" s="251"/>
      <c r="P442" s="251"/>
      <c r="Q442" s="251"/>
      <c r="R442" s="138"/>
    </row>
    <row r="443" spans="1:18" x14ac:dyDescent="0.25">
      <c r="A443" s="138"/>
      <c r="B443" s="20"/>
      <c r="C443" s="754" t="s">
        <v>1187</v>
      </c>
      <c r="D443" s="755"/>
      <c r="E443" s="756"/>
      <c r="F443" s="282">
        <f>SUM(F435:F442)</f>
        <v>0</v>
      </c>
      <c r="G443" s="282">
        <f>SUM(G435:G442)</f>
        <v>0</v>
      </c>
      <c r="H443" s="282">
        <f>SUM(H435:H442)</f>
        <v>0</v>
      </c>
      <c r="I443" s="282">
        <f>SUM(I435:I442)</f>
        <v>0</v>
      </c>
      <c r="J443" s="286" t="str">
        <f>IF(I443&lt;&gt;Q349,"ERROR Off Site Improvements in Construction Cost Detail Does Not Match Budget","")</f>
        <v/>
      </c>
      <c r="K443" s="287"/>
      <c r="R443" s="138"/>
    </row>
    <row r="444" spans="1:18" x14ac:dyDescent="0.25">
      <c r="A444" s="138"/>
      <c r="F444" s="288"/>
      <c r="G444" s="288"/>
      <c r="H444" s="288"/>
      <c r="I444" s="288"/>
      <c r="J444" s="284"/>
      <c r="K444" s="284"/>
      <c r="R444" s="138"/>
    </row>
    <row r="445" spans="1:18" x14ac:dyDescent="0.25">
      <c r="A445" s="138"/>
      <c r="B445" s="795" t="s">
        <v>1166</v>
      </c>
      <c r="C445" s="700" t="s">
        <v>421</v>
      </c>
      <c r="D445" s="701"/>
      <c r="E445" s="702"/>
      <c r="F445" s="263"/>
      <c r="G445" s="263"/>
      <c r="H445" s="263"/>
      <c r="I445" s="267">
        <f t="shared" ref="I445:I476" si="51">SUM(F445:H445)</f>
        <v>0</v>
      </c>
      <c r="J445" s="267" t="e">
        <f>I445/'Project Details'!$C$226</f>
        <v>#DIV/0!</v>
      </c>
      <c r="K445" s="267" t="e">
        <f t="shared" ref="K445:K476" si="52">I445/$C$45</f>
        <v>#DIV/0!</v>
      </c>
      <c r="R445" s="138"/>
    </row>
    <row r="446" spans="1:18" x14ac:dyDescent="0.25">
      <c r="A446" s="138"/>
      <c r="B446" s="797"/>
      <c r="C446" s="700" t="s">
        <v>422</v>
      </c>
      <c r="D446" s="701"/>
      <c r="E446" s="702"/>
      <c r="F446" s="263"/>
      <c r="G446" s="263"/>
      <c r="H446" s="263"/>
      <c r="I446" s="267">
        <f t="shared" si="51"/>
        <v>0</v>
      </c>
      <c r="J446" s="267" t="e">
        <f>I446/'Project Details'!$C$226</f>
        <v>#DIV/0!</v>
      </c>
      <c r="K446" s="267" t="e">
        <f t="shared" si="52"/>
        <v>#DIV/0!</v>
      </c>
      <c r="R446" s="138"/>
    </row>
    <row r="447" spans="1:18" x14ac:dyDescent="0.25">
      <c r="A447" s="138"/>
      <c r="B447" s="797"/>
      <c r="C447" s="700" t="s">
        <v>423</v>
      </c>
      <c r="D447" s="701"/>
      <c r="E447" s="702"/>
      <c r="F447" s="263"/>
      <c r="G447" s="263"/>
      <c r="H447" s="263"/>
      <c r="I447" s="267">
        <f t="shared" si="51"/>
        <v>0</v>
      </c>
      <c r="J447" s="267" t="e">
        <f>I447/'Project Details'!$C$226</f>
        <v>#DIV/0!</v>
      </c>
      <c r="K447" s="267" t="e">
        <f t="shared" si="52"/>
        <v>#DIV/0!</v>
      </c>
      <c r="R447" s="138"/>
    </row>
    <row r="448" spans="1:18" x14ac:dyDescent="0.25">
      <c r="A448" s="138"/>
      <c r="B448" s="797"/>
      <c r="C448" s="700" t="s">
        <v>424</v>
      </c>
      <c r="D448" s="701"/>
      <c r="E448" s="702"/>
      <c r="F448" s="263"/>
      <c r="G448" s="263"/>
      <c r="H448" s="263"/>
      <c r="I448" s="267">
        <f t="shared" si="51"/>
        <v>0</v>
      </c>
      <c r="J448" s="267" t="e">
        <f>I448/'Project Details'!$C$226</f>
        <v>#DIV/0!</v>
      </c>
      <c r="K448" s="267" t="e">
        <f t="shared" si="52"/>
        <v>#DIV/0!</v>
      </c>
      <c r="R448" s="138"/>
    </row>
    <row r="449" spans="1:18" x14ac:dyDescent="0.25">
      <c r="A449" s="138"/>
      <c r="B449" s="797"/>
      <c r="C449" s="700" t="s">
        <v>425</v>
      </c>
      <c r="D449" s="701"/>
      <c r="E449" s="702"/>
      <c r="F449" s="263"/>
      <c r="G449" s="263"/>
      <c r="H449" s="263"/>
      <c r="I449" s="267">
        <f t="shared" si="51"/>
        <v>0</v>
      </c>
      <c r="J449" s="267" t="e">
        <f>I449/'Project Details'!$C$226</f>
        <v>#DIV/0!</v>
      </c>
      <c r="K449" s="267" t="e">
        <f t="shared" si="52"/>
        <v>#DIV/0!</v>
      </c>
      <c r="R449" s="138"/>
    </row>
    <row r="450" spans="1:18" x14ac:dyDescent="0.25">
      <c r="A450" s="138"/>
      <c r="B450" s="797"/>
      <c r="C450" s="700" t="s">
        <v>426</v>
      </c>
      <c r="D450" s="701"/>
      <c r="E450" s="702"/>
      <c r="F450" s="263"/>
      <c r="G450" s="263"/>
      <c r="H450" s="263"/>
      <c r="I450" s="267">
        <f t="shared" si="51"/>
        <v>0</v>
      </c>
      <c r="J450" s="267" t="e">
        <f>I450/'Project Details'!$C$226</f>
        <v>#DIV/0!</v>
      </c>
      <c r="K450" s="267" t="e">
        <f t="shared" si="52"/>
        <v>#DIV/0!</v>
      </c>
      <c r="R450" s="138"/>
    </row>
    <row r="451" spans="1:18" x14ac:dyDescent="0.25">
      <c r="A451" s="138"/>
      <c r="B451" s="797"/>
      <c r="C451" s="700" t="s">
        <v>427</v>
      </c>
      <c r="D451" s="701"/>
      <c r="E451" s="702"/>
      <c r="F451" s="263"/>
      <c r="G451" s="263"/>
      <c r="H451" s="263"/>
      <c r="I451" s="267">
        <f t="shared" si="51"/>
        <v>0</v>
      </c>
      <c r="J451" s="267" t="e">
        <f>I451/'Project Details'!$C$226</f>
        <v>#DIV/0!</v>
      </c>
      <c r="K451" s="267" t="e">
        <f t="shared" si="52"/>
        <v>#DIV/0!</v>
      </c>
      <c r="R451" s="138"/>
    </row>
    <row r="452" spans="1:18" s="138" customFormat="1" x14ac:dyDescent="0.25">
      <c r="B452" s="797"/>
      <c r="C452" s="700" t="s">
        <v>428</v>
      </c>
      <c r="D452" s="701"/>
      <c r="E452" s="702"/>
      <c r="F452" s="263"/>
      <c r="G452" s="263"/>
      <c r="H452" s="263"/>
      <c r="I452" s="267">
        <f t="shared" si="51"/>
        <v>0</v>
      </c>
      <c r="J452" s="267" t="e">
        <f>I452/'Project Details'!$C$226</f>
        <v>#DIV/0!</v>
      </c>
      <c r="K452" s="267" t="e">
        <f t="shared" si="52"/>
        <v>#DIV/0!</v>
      </c>
    </row>
    <row r="453" spans="1:18" s="138" customFormat="1" x14ac:dyDescent="0.25">
      <c r="B453" s="797"/>
      <c r="C453" s="700" t="s">
        <v>429</v>
      </c>
      <c r="D453" s="701"/>
      <c r="E453" s="702"/>
      <c r="F453" s="263"/>
      <c r="G453" s="263"/>
      <c r="H453" s="263"/>
      <c r="I453" s="267">
        <f t="shared" si="51"/>
        <v>0</v>
      </c>
      <c r="J453" s="267" t="e">
        <f>I453/'Project Details'!$C$226</f>
        <v>#DIV/0!</v>
      </c>
      <c r="K453" s="267" t="e">
        <f t="shared" si="52"/>
        <v>#DIV/0!</v>
      </c>
    </row>
    <row r="454" spans="1:18" s="138" customFormat="1" x14ac:dyDescent="0.25">
      <c r="B454" s="797"/>
      <c r="C454" s="700" t="s">
        <v>1188</v>
      </c>
      <c r="D454" s="701"/>
      <c r="E454" s="702"/>
      <c r="F454" s="263"/>
      <c r="G454" s="263"/>
      <c r="H454" s="263"/>
      <c r="I454" s="267">
        <f t="shared" si="51"/>
        <v>0</v>
      </c>
      <c r="J454" s="267" t="e">
        <f>I454/'Project Details'!$C$226</f>
        <v>#DIV/0!</v>
      </c>
      <c r="K454" s="267" t="e">
        <f t="shared" si="52"/>
        <v>#DIV/0!</v>
      </c>
    </row>
    <row r="455" spans="1:18" s="138" customFormat="1" x14ac:dyDescent="0.25">
      <c r="B455" s="797"/>
      <c r="C455" s="700" t="s">
        <v>430</v>
      </c>
      <c r="D455" s="701"/>
      <c r="E455" s="702"/>
      <c r="F455" s="263"/>
      <c r="G455" s="263"/>
      <c r="H455" s="263"/>
      <c r="I455" s="267">
        <f t="shared" si="51"/>
        <v>0</v>
      </c>
      <c r="J455" s="267" t="e">
        <f>I455/'Project Details'!$C$226</f>
        <v>#DIV/0!</v>
      </c>
      <c r="K455" s="267" t="e">
        <f t="shared" si="52"/>
        <v>#DIV/0!</v>
      </c>
    </row>
    <row r="456" spans="1:18" s="138" customFormat="1" x14ac:dyDescent="0.25">
      <c r="B456" s="797"/>
      <c r="C456" s="700" t="s">
        <v>431</v>
      </c>
      <c r="D456" s="701"/>
      <c r="E456" s="702"/>
      <c r="F456" s="263"/>
      <c r="G456" s="263"/>
      <c r="H456" s="263"/>
      <c r="I456" s="267">
        <f t="shared" si="51"/>
        <v>0</v>
      </c>
      <c r="J456" s="267" t="e">
        <f>I456/'Project Details'!$C$226</f>
        <v>#DIV/0!</v>
      </c>
      <c r="K456" s="267" t="e">
        <f t="shared" si="52"/>
        <v>#DIV/0!</v>
      </c>
    </row>
    <row r="457" spans="1:18" s="138" customFormat="1" x14ac:dyDescent="0.25">
      <c r="B457" s="797"/>
      <c r="C457" s="700" t="s">
        <v>432</v>
      </c>
      <c r="D457" s="701"/>
      <c r="E457" s="702"/>
      <c r="F457" s="263"/>
      <c r="G457" s="263"/>
      <c r="H457" s="263"/>
      <c r="I457" s="267">
        <f t="shared" si="51"/>
        <v>0</v>
      </c>
      <c r="J457" s="267" t="e">
        <f>I457/'Project Details'!$C$226</f>
        <v>#DIV/0!</v>
      </c>
      <c r="K457" s="267" t="e">
        <f t="shared" si="52"/>
        <v>#DIV/0!</v>
      </c>
    </row>
    <row r="458" spans="1:18" s="138" customFormat="1" x14ac:dyDescent="0.25">
      <c r="B458" s="797"/>
      <c r="C458" s="700" t="s">
        <v>433</v>
      </c>
      <c r="D458" s="701"/>
      <c r="E458" s="702"/>
      <c r="F458" s="263"/>
      <c r="G458" s="263"/>
      <c r="H458" s="263"/>
      <c r="I458" s="267">
        <f t="shared" si="51"/>
        <v>0</v>
      </c>
      <c r="J458" s="267" t="e">
        <f>I458/'Project Details'!$C$226</f>
        <v>#DIV/0!</v>
      </c>
      <c r="K458" s="267" t="e">
        <f t="shared" si="52"/>
        <v>#DIV/0!</v>
      </c>
    </row>
    <row r="459" spans="1:18" s="138" customFormat="1" x14ac:dyDescent="0.25">
      <c r="B459" s="797"/>
      <c r="C459" s="700" t="s">
        <v>434</v>
      </c>
      <c r="D459" s="701"/>
      <c r="E459" s="702"/>
      <c r="F459" s="263"/>
      <c r="G459" s="263"/>
      <c r="H459" s="263"/>
      <c r="I459" s="267">
        <f t="shared" si="51"/>
        <v>0</v>
      </c>
      <c r="J459" s="267" t="e">
        <f>I459/'Project Details'!$C$226</f>
        <v>#DIV/0!</v>
      </c>
      <c r="K459" s="267" t="e">
        <f t="shared" si="52"/>
        <v>#DIV/0!</v>
      </c>
    </row>
    <row r="460" spans="1:18" s="138" customFormat="1" x14ac:dyDescent="0.25">
      <c r="B460" s="797"/>
      <c r="C460" s="700" t="s">
        <v>435</v>
      </c>
      <c r="D460" s="701"/>
      <c r="E460" s="702"/>
      <c r="F460" s="263"/>
      <c r="G460" s="263"/>
      <c r="H460" s="263"/>
      <c r="I460" s="267">
        <f t="shared" si="51"/>
        <v>0</v>
      </c>
      <c r="J460" s="267" t="e">
        <f>I460/'Project Details'!$C$226</f>
        <v>#DIV/0!</v>
      </c>
      <c r="K460" s="267" t="e">
        <f t="shared" si="52"/>
        <v>#DIV/0!</v>
      </c>
    </row>
    <row r="461" spans="1:18" s="138" customFormat="1" x14ac:dyDescent="0.25">
      <c r="B461" s="797"/>
      <c r="C461" s="700" t="s">
        <v>436</v>
      </c>
      <c r="D461" s="701"/>
      <c r="E461" s="702"/>
      <c r="F461" s="263"/>
      <c r="G461" s="263"/>
      <c r="H461" s="263"/>
      <c r="I461" s="267">
        <f t="shared" si="51"/>
        <v>0</v>
      </c>
      <c r="J461" s="267" t="e">
        <f>I461/'Project Details'!$C$226</f>
        <v>#DIV/0!</v>
      </c>
      <c r="K461" s="267" t="e">
        <f t="shared" si="52"/>
        <v>#DIV/0!</v>
      </c>
    </row>
    <row r="462" spans="1:18" s="138" customFormat="1" x14ac:dyDescent="0.25">
      <c r="B462" s="797"/>
      <c r="C462" s="700" t="s">
        <v>437</v>
      </c>
      <c r="D462" s="701"/>
      <c r="E462" s="702"/>
      <c r="F462" s="263"/>
      <c r="G462" s="263"/>
      <c r="H462" s="263"/>
      <c r="I462" s="267">
        <f t="shared" si="51"/>
        <v>0</v>
      </c>
      <c r="J462" s="267" t="e">
        <f>I462/'Project Details'!$C$226</f>
        <v>#DIV/0!</v>
      </c>
      <c r="K462" s="267" t="e">
        <f t="shared" si="52"/>
        <v>#DIV/0!</v>
      </c>
    </row>
    <row r="463" spans="1:18" s="138" customFormat="1" x14ac:dyDescent="0.25">
      <c r="B463" s="797"/>
      <c r="C463" s="700" t="s">
        <v>293</v>
      </c>
      <c r="D463" s="701"/>
      <c r="E463" s="702"/>
      <c r="F463" s="263"/>
      <c r="G463" s="263"/>
      <c r="H463" s="263"/>
      <c r="I463" s="267">
        <f t="shared" si="51"/>
        <v>0</v>
      </c>
      <c r="J463" s="267" t="e">
        <f>I463/'Project Details'!$C$226</f>
        <v>#DIV/0!</v>
      </c>
      <c r="K463" s="267" t="e">
        <f t="shared" si="52"/>
        <v>#DIV/0!</v>
      </c>
    </row>
    <row r="464" spans="1:18" s="138" customFormat="1" x14ac:dyDescent="0.25">
      <c r="B464" s="797"/>
      <c r="C464" s="700" t="s">
        <v>438</v>
      </c>
      <c r="D464" s="701"/>
      <c r="E464" s="702"/>
      <c r="F464" s="263"/>
      <c r="G464" s="263"/>
      <c r="H464" s="263"/>
      <c r="I464" s="267">
        <f t="shared" si="51"/>
        <v>0</v>
      </c>
      <c r="J464" s="267" t="e">
        <f>I464/'Project Details'!$C$226</f>
        <v>#DIV/0!</v>
      </c>
      <c r="K464" s="267" t="e">
        <f t="shared" si="52"/>
        <v>#DIV/0!</v>
      </c>
    </row>
    <row r="465" spans="1:18" s="138" customFormat="1" x14ac:dyDescent="0.25">
      <c r="B465" s="797"/>
      <c r="C465" s="700" t="s">
        <v>439</v>
      </c>
      <c r="D465" s="701"/>
      <c r="E465" s="702"/>
      <c r="F465" s="263"/>
      <c r="G465" s="263"/>
      <c r="H465" s="263"/>
      <c r="I465" s="267">
        <f t="shared" si="51"/>
        <v>0</v>
      </c>
      <c r="J465" s="267" t="e">
        <f>I465/'Project Details'!$C$226</f>
        <v>#DIV/0!</v>
      </c>
      <c r="K465" s="267" t="e">
        <f t="shared" si="52"/>
        <v>#DIV/0!</v>
      </c>
    </row>
    <row r="466" spans="1:18" s="138" customFormat="1" x14ac:dyDescent="0.25">
      <c r="B466" s="797"/>
      <c r="C466" s="700" t="s">
        <v>440</v>
      </c>
      <c r="D466" s="701"/>
      <c r="E466" s="702"/>
      <c r="F466" s="263"/>
      <c r="G466" s="263"/>
      <c r="H466" s="263"/>
      <c r="I466" s="267">
        <f t="shared" si="51"/>
        <v>0</v>
      </c>
      <c r="J466" s="267" t="e">
        <f>I466/'Project Details'!$C$226</f>
        <v>#DIV/0!</v>
      </c>
      <c r="K466" s="267" t="e">
        <f t="shared" si="52"/>
        <v>#DIV/0!</v>
      </c>
    </row>
    <row r="467" spans="1:18" s="138" customFormat="1" x14ac:dyDescent="0.25">
      <c r="B467" s="797"/>
      <c r="C467" s="700" t="s">
        <v>441</v>
      </c>
      <c r="D467" s="701"/>
      <c r="E467" s="702"/>
      <c r="F467" s="263"/>
      <c r="G467" s="263"/>
      <c r="H467" s="263"/>
      <c r="I467" s="267">
        <f t="shared" si="51"/>
        <v>0</v>
      </c>
      <c r="J467" s="267" t="e">
        <f>I467/'Project Details'!$C$226</f>
        <v>#DIV/0!</v>
      </c>
      <c r="K467" s="267" t="e">
        <f t="shared" si="52"/>
        <v>#DIV/0!</v>
      </c>
    </row>
    <row r="468" spans="1:18" x14ac:dyDescent="0.25">
      <c r="A468" s="138"/>
      <c r="B468" s="797"/>
      <c r="C468" s="700" t="s">
        <v>442</v>
      </c>
      <c r="D468" s="701"/>
      <c r="E468" s="702"/>
      <c r="F468" s="263"/>
      <c r="G468" s="263"/>
      <c r="H468" s="263"/>
      <c r="I468" s="267">
        <f t="shared" si="51"/>
        <v>0</v>
      </c>
      <c r="J468" s="267" t="e">
        <f>I468/'Project Details'!$C$226</f>
        <v>#DIV/0!</v>
      </c>
      <c r="K468" s="267" t="e">
        <f t="shared" si="52"/>
        <v>#DIV/0!</v>
      </c>
      <c r="R468" s="138"/>
    </row>
    <row r="469" spans="1:18" x14ac:dyDescent="0.25">
      <c r="A469" s="138"/>
      <c r="B469" s="797"/>
      <c r="C469" s="700" t="s">
        <v>443</v>
      </c>
      <c r="D469" s="701"/>
      <c r="E469" s="702"/>
      <c r="F469" s="263"/>
      <c r="G469" s="263"/>
      <c r="H469" s="263"/>
      <c r="I469" s="267">
        <f t="shared" si="51"/>
        <v>0</v>
      </c>
      <c r="J469" s="267" t="e">
        <f>I469/'Project Details'!$C$226</f>
        <v>#DIV/0!</v>
      </c>
      <c r="K469" s="267" t="e">
        <f t="shared" si="52"/>
        <v>#DIV/0!</v>
      </c>
      <c r="R469" s="138"/>
    </row>
    <row r="470" spans="1:18" x14ac:dyDescent="0.25">
      <c r="A470" s="138"/>
      <c r="B470" s="797"/>
      <c r="C470" s="700" t="s">
        <v>444</v>
      </c>
      <c r="D470" s="701"/>
      <c r="E470" s="702"/>
      <c r="F470" s="263"/>
      <c r="G470" s="263"/>
      <c r="H470" s="263"/>
      <c r="I470" s="267">
        <f t="shared" si="51"/>
        <v>0</v>
      </c>
      <c r="J470" s="267" t="e">
        <f>I470/'Project Details'!$C$226</f>
        <v>#DIV/0!</v>
      </c>
      <c r="K470" s="267" t="e">
        <f t="shared" si="52"/>
        <v>#DIV/0!</v>
      </c>
      <c r="R470" s="138"/>
    </row>
    <row r="471" spans="1:18" x14ac:dyDescent="0.25">
      <c r="A471" s="138"/>
      <c r="B471" s="797"/>
      <c r="C471" s="700" t="s">
        <v>445</v>
      </c>
      <c r="D471" s="701"/>
      <c r="E471" s="702"/>
      <c r="F471" s="263"/>
      <c r="G471" s="263"/>
      <c r="H471" s="263"/>
      <c r="I471" s="267">
        <f t="shared" si="51"/>
        <v>0</v>
      </c>
      <c r="J471" s="267" t="e">
        <f>I471/'Project Details'!$C$226</f>
        <v>#DIV/0!</v>
      </c>
      <c r="K471" s="267" t="e">
        <f t="shared" si="52"/>
        <v>#DIV/0!</v>
      </c>
      <c r="R471" s="138"/>
    </row>
    <row r="472" spans="1:18" x14ac:dyDescent="0.25">
      <c r="A472" s="138"/>
      <c r="B472" s="797"/>
      <c r="C472" s="700" t="s">
        <v>446</v>
      </c>
      <c r="D472" s="701"/>
      <c r="E472" s="702"/>
      <c r="F472" s="263"/>
      <c r="G472" s="263"/>
      <c r="H472" s="263"/>
      <c r="I472" s="267">
        <f t="shared" si="51"/>
        <v>0</v>
      </c>
      <c r="J472" s="267" t="e">
        <f>I472/'Project Details'!$C$226</f>
        <v>#DIV/0!</v>
      </c>
      <c r="K472" s="267" t="e">
        <f t="shared" si="52"/>
        <v>#DIV/0!</v>
      </c>
      <c r="R472" s="138"/>
    </row>
    <row r="473" spans="1:18" x14ac:dyDescent="0.25">
      <c r="A473" s="138"/>
      <c r="B473" s="797"/>
      <c r="C473" s="700" t="s">
        <v>447</v>
      </c>
      <c r="D473" s="701"/>
      <c r="E473" s="702"/>
      <c r="F473" s="263"/>
      <c r="G473" s="263"/>
      <c r="H473" s="263"/>
      <c r="I473" s="267">
        <f t="shared" si="51"/>
        <v>0</v>
      </c>
      <c r="J473" s="267" t="e">
        <f>I473/'Project Details'!$C$226</f>
        <v>#DIV/0!</v>
      </c>
      <c r="K473" s="267" t="e">
        <f t="shared" si="52"/>
        <v>#DIV/0!</v>
      </c>
      <c r="R473" s="138"/>
    </row>
    <row r="474" spans="1:18" x14ac:dyDescent="0.25">
      <c r="A474" s="138"/>
      <c r="B474" s="797"/>
      <c r="C474" s="700" t="s">
        <v>448</v>
      </c>
      <c r="D474" s="701"/>
      <c r="E474" s="702"/>
      <c r="F474" s="263"/>
      <c r="G474" s="263"/>
      <c r="H474" s="263"/>
      <c r="I474" s="267">
        <f t="shared" si="51"/>
        <v>0</v>
      </c>
      <c r="J474" s="267" t="e">
        <f>I474/'Project Details'!$C$226</f>
        <v>#DIV/0!</v>
      </c>
      <c r="K474" s="267" t="e">
        <f t="shared" si="52"/>
        <v>#DIV/0!</v>
      </c>
      <c r="P474" s="138"/>
      <c r="R474" s="138"/>
    </row>
    <row r="475" spans="1:18" x14ac:dyDescent="0.25">
      <c r="A475" s="138"/>
      <c r="B475" s="797"/>
      <c r="C475" s="9" t="s">
        <v>131</v>
      </c>
      <c r="D475" s="734"/>
      <c r="E475" s="735"/>
      <c r="F475" s="263"/>
      <c r="G475" s="263"/>
      <c r="H475" s="263"/>
      <c r="I475" s="267">
        <f t="shared" si="51"/>
        <v>0</v>
      </c>
      <c r="J475" s="267" t="e">
        <f>I475/'Project Details'!$C$226</f>
        <v>#DIV/0!</v>
      </c>
      <c r="K475" s="267" t="e">
        <f t="shared" si="52"/>
        <v>#DIV/0!</v>
      </c>
      <c r="M475" s="251"/>
      <c r="N475" s="251"/>
      <c r="O475" s="251"/>
      <c r="P475" s="251"/>
      <c r="Q475" s="251"/>
      <c r="R475" s="138"/>
    </row>
    <row r="476" spans="1:18" x14ac:dyDescent="0.25">
      <c r="A476" s="138"/>
      <c r="B476" s="798"/>
      <c r="C476" s="9" t="s">
        <v>131</v>
      </c>
      <c r="D476" s="734"/>
      <c r="E476" s="735"/>
      <c r="F476" s="263"/>
      <c r="G476" s="263"/>
      <c r="H476" s="263"/>
      <c r="I476" s="267">
        <f t="shared" si="51"/>
        <v>0</v>
      </c>
      <c r="J476" s="267" t="e">
        <f>I476/'Project Details'!$C$226</f>
        <v>#DIV/0!</v>
      </c>
      <c r="K476" s="267" t="e">
        <f t="shared" si="52"/>
        <v>#DIV/0!</v>
      </c>
      <c r="M476" s="251"/>
      <c r="N476" s="251"/>
      <c r="O476" s="251"/>
      <c r="P476" s="251"/>
      <c r="Q476" s="251"/>
      <c r="R476" s="138"/>
    </row>
    <row r="477" spans="1:18" x14ac:dyDescent="0.25">
      <c r="A477" s="138"/>
      <c r="B477" s="20"/>
      <c r="C477" s="754" t="s">
        <v>460</v>
      </c>
      <c r="D477" s="755"/>
      <c r="E477" s="756"/>
      <c r="F477" s="282">
        <f>SUM(F445:F476)</f>
        <v>0</v>
      </c>
      <c r="G477" s="282">
        <f>SUM(G445:G476)</f>
        <v>0</v>
      </c>
      <c r="H477" s="282">
        <f>SUM(H445:H476)</f>
        <v>0</v>
      </c>
      <c r="I477" s="282">
        <f>SUM(I445:I476)</f>
        <v>0</v>
      </c>
      <c r="J477" s="286"/>
      <c r="K477" s="287"/>
      <c r="R477" s="138"/>
    </row>
    <row r="478" spans="1:18" x14ac:dyDescent="0.25">
      <c r="A478" s="138"/>
      <c r="F478" s="288"/>
      <c r="G478" s="288"/>
      <c r="H478" s="288"/>
      <c r="I478" s="288"/>
      <c r="J478" s="284"/>
      <c r="K478" s="284"/>
      <c r="R478" s="138"/>
    </row>
    <row r="479" spans="1:18" x14ac:dyDescent="0.25">
      <c r="A479" s="138"/>
      <c r="B479" s="795" t="s">
        <v>379</v>
      </c>
      <c r="C479" s="700" t="s">
        <v>449</v>
      </c>
      <c r="D479" s="701"/>
      <c r="E479" s="702"/>
      <c r="F479" s="263"/>
      <c r="G479" s="263"/>
      <c r="H479" s="263"/>
      <c r="I479" s="267">
        <f>SUM(F479:H479)</f>
        <v>0</v>
      </c>
      <c r="J479" s="267" t="e">
        <f>I479/'Project Details'!$C$226</f>
        <v>#DIV/0!</v>
      </c>
      <c r="K479" s="267" t="e">
        <f>I479/$C$45</f>
        <v>#DIV/0!</v>
      </c>
      <c r="R479" s="138"/>
    </row>
    <row r="480" spans="1:18" x14ac:dyDescent="0.25">
      <c r="A480" s="138"/>
      <c r="B480" s="797"/>
      <c r="C480" s="700" t="s">
        <v>450</v>
      </c>
      <c r="D480" s="701"/>
      <c r="E480" s="702"/>
      <c r="F480" s="263"/>
      <c r="G480" s="263"/>
      <c r="H480" s="263"/>
      <c r="I480" s="267">
        <f>SUM(F480:H480)</f>
        <v>0</v>
      </c>
      <c r="J480" s="267" t="e">
        <f>I480/'Project Details'!$C$226</f>
        <v>#DIV/0!</v>
      </c>
      <c r="K480" s="267" t="e">
        <f>I480/$C$45</f>
        <v>#DIV/0!</v>
      </c>
      <c r="R480" s="138"/>
    </row>
    <row r="481" spans="1:18" x14ac:dyDescent="0.25">
      <c r="A481" s="138"/>
      <c r="B481" s="797"/>
      <c r="C481" s="700" t="s">
        <v>451</v>
      </c>
      <c r="D481" s="701"/>
      <c r="E481" s="702"/>
      <c r="F481" s="263"/>
      <c r="G481" s="263"/>
      <c r="H481" s="263"/>
      <c r="I481" s="267">
        <f>SUM(F481:H481)</f>
        <v>0</v>
      </c>
      <c r="J481" s="267" t="e">
        <f>I481/'Project Details'!$C$226</f>
        <v>#DIV/0!</v>
      </c>
      <c r="K481" s="267" t="e">
        <f>I481/$C$45</f>
        <v>#DIV/0!</v>
      </c>
      <c r="R481" s="138"/>
    </row>
    <row r="482" spans="1:18" x14ac:dyDescent="0.25">
      <c r="A482" s="138"/>
      <c r="B482" s="797"/>
      <c r="C482" s="9" t="s">
        <v>131</v>
      </c>
      <c r="D482" s="734"/>
      <c r="E482" s="735"/>
      <c r="F482" s="263"/>
      <c r="G482" s="263"/>
      <c r="H482" s="263"/>
      <c r="I482" s="267">
        <f>SUM(F482:H482)</f>
        <v>0</v>
      </c>
      <c r="J482" s="267" t="e">
        <f>I482/'Project Details'!$C$226</f>
        <v>#DIV/0!</v>
      </c>
      <c r="K482" s="267" t="e">
        <f>I482/$C$45</f>
        <v>#DIV/0!</v>
      </c>
      <c r="M482" s="251"/>
      <c r="N482" s="251"/>
      <c r="O482" s="251"/>
      <c r="P482" s="251"/>
      <c r="Q482" s="251"/>
      <c r="R482" s="138"/>
    </row>
    <row r="483" spans="1:18" x14ac:dyDescent="0.25">
      <c r="A483" s="138"/>
      <c r="B483" s="798"/>
      <c r="C483" s="9" t="s">
        <v>131</v>
      </c>
      <c r="D483" s="734"/>
      <c r="E483" s="735"/>
      <c r="F483" s="263"/>
      <c r="G483" s="263"/>
      <c r="H483" s="263"/>
      <c r="I483" s="267">
        <f>SUM(F483:H483)</f>
        <v>0</v>
      </c>
      <c r="J483" s="267" t="e">
        <f>I483/'Project Details'!$C$226</f>
        <v>#DIV/0!</v>
      </c>
      <c r="K483" s="267" t="e">
        <f>I483/$C$45</f>
        <v>#DIV/0!</v>
      </c>
      <c r="M483" s="251"/>
      <c r="N483" s="251"/>
      <c r="O483" s="251"/>
      <c r="P483" s="251"/>
      <c r="Q483" s="251"/>
      <c r="R483" s="138"/>
    </row>
    <row r="484" spans="1:18" x14ac:dyDescent="0.25">
      <c r="A484" s="138"/>
      <c r="B484" s="20"/>
      <c r="C484" s="754" t="s">
        <v>461</v>
      </c>
      <c r="D484" s="755"/>
      <c r="E484" s="756"/>
      <c r="F484" s="282">
        <f>SUM(F479:F483)</f>
        <v>0</v>
      </c>
      <c r="G484" s="282">
        <f>SUM(G479:G483)</f>
        <v>0</v>
      </c>
      <c r="H484" s="282">
        <f>SUM(H479:H483)</f>
        <v>0</v>
      </c>
      <c r="I484" s="282">
        <f>SUM(I479:I483)</f>
        <v>0</v>
      </c>
      <c r="J484" s="286" t="str">
        <f>IF(I484&lt;&gt;Q364,"ERROR FFE in Construction Cost Detail Does Not Match FFE in Budget","")</f>
        <v/>
      </c>
      <c r="K484" s="287"/>
      <c r="R484" s="138"/>
    </row>
    <row r="485" spans="1:18" x14ac:dyDescent="0.25">
      <c r="A485" s="138"/>
      <c r="F485" s="288"/>
      <c r="G485" s="288"/>
      <c r="H485" s="288"/>
      <c r="I485" s="288"/>
      <c r="J485" s="284"/>
      <c r="K485" s="284"/>
      <c r="R485" s="138"/>
    </row>
    <row r="486" spans="1:18" x14ac:dyDescent="0.25">
      <c r="A486" s="138"/>
      <c r="B486" s="795" t="s">
        <v>456</v>
      </c>
      <c r="C486" s="700" t="s">
        <v>452</v>
      </c>
      <c r="D486" s="701"/>
      <c r="E486" s="702"/>
      <c r="F486" s="263"/>
      <c r="G486" s="263"/>
      <c r="H486" s="263"/>
      <c r="I486" s="267">
        <f t="shared" ref="I486:I491" si="53">SUM(F486:H486)</f>
        <v>0</v>
      </c>
      <c r="J486" s="267" t="e">
        <f>I486/'Project Details'!$C$226</f>
        <v>#DIV/0!</v>
      </c>
      <c r="K486" s="267" t="e">
        <f t="shared" ref="K486:K492" si="54">I486/$C$45</f>
        <v>#DIV/0!</v>
      </c>
      <c r="R486" s="138"/>
    </row>
    <row r="487" spans="1:18" x14ac:dyDescent="0.25">
      <c r="A487" s="138"/>
      <c r="B487" s="797"/>
      <c r="C487" s="700" t="s">
        <v>453</v>
      </c>
      <c r="D487" s="701"/>
      <c r="E487" s="702"/>
      <c r="F487" s="263"/>
      <c r="G487" s="263"/>
      <c r="H487" s="263"/>
      <c r="I487" s="267">
        <f t="shared" si="53"/>
        <v>0</v>
      </c>
      <c r="J487" s="267" t="e">
        <f>I487/'Project Details'!$C$226</f>
        <v>#DIV/0!</v>
      </c>
      <c r="K487" s="267" t="e">
        <f t="shared" si="54"/>
        <v>#DIV/0!</v>
      </c>
      <c r="R487" s="138"/>
    </row>
    <row r="488" spans="1:18" x14ac:dyDescent="0.25">
      <c r="A488" s="138"/>
      <c r="B488" s="797"/>
      <c r="C488" s="700" t="s">
        <v>454</v>
      </c>
      <c r="D488" s="701"/>
      <c r="E488" s="702"/>
      <c r="F488" s="263"/>
      <c r="G488" s="263"/>
      <c r="H488" s="263"/>
      <c r="I488" s="267">
        <f t="shared" si="53"/>
        <v>0</v>
      </c>
      <c r="J488" s="267" t="e">
        <f>I488/'Project Details'!$C$226</f>
        <v>#DIV/0!</v>
      </c>
      <c r="K488" s="267" t="e">
        <f t="shared" si="54"/>
        <v>#DIV/0!</v>
      </c>
      <c r="R488" s="138"/>
    </row>
    <row r="489" spans="1:18" x14ac:dyDescent="0.25">
      <c r="A489" s="138"/>
      <c r="B489" s="797"/>
      <c r="C489" s="700" t="s">
        <v>455</v>
      </c>
      <c r="D489" s="701"/>
      <c r="E489" s="702"/>
      <c r="F489" s="263"/>
      <c r="G489" s="263"/>
      <c r="H489" s="263"/>
      <c r="I489" s="267">
        <f t="shared" si="53"/>
        <v>0</v>
      </c>
      <c r="J489" s="267" t="e">
        <f>I489/'Project Details'!$C$226</f>
        <v>#DIV/0!</v>
      </c>
      <c r="K489" s="267" t="e">
        <f t="shared" si="54"/>
        <v>#DIV/0!</v>
      </c>
      <c r="R489" s="138"/>
    </row>
    <row r="490" spans="1:18" x14ac:dyDescent="0.25">
      <c r="A490" s="138"/>
      <c r="B490" s="797"/>
      <c r="C490" s="700" t="s">
        <v>373</v>
      </c>
      <c r="D490" s="701"/>
      <c r="E490" s="702"/>
      <c r="F490" s="263"/>
      <c r="G490" s="263"/>
      <c r="H490" s="263"/>
      <c r="I490" s="267">
        <f t="shared" si="53"/>
        <v>0</v>
      </c>
      <c r="J490" s="267" t="e">
        <f>I490/'Project Details'!$C$226</f>
        <v>#DIV/0!</v>
      </c>
      <c r="K490" s="267" t="e">
        <f t="shared" si="54"/>
        <v>#DIV/0!</v>
      </c>
      <c r="R490" s="138"/>
    </row>
    <row r="491" spans="1:18" x14ac:dyDescent="0.25">
      <c r="A491" s="138"/>
      <c r="B491" s="797"/>
      <c r="C491" s="9" t="s">
        <v>131</v>
      </c>
      <c r="D491" s="734"/>
      <c r="E491" s="735"/>
      <c r="F491" s="263"/>
      <c r="G491" s="263"/>
      <c r="H491" s="263"/>
      <c r="I491" s="267">
        <f t="shared" si="53"/>
        <v>0</v>
      </c>
      <c r="J491" s="267" t="e">
        <f>I491/'Project Details'!$C$226</f>
        <v>#DIV/0!</v>
      </c>
      <c r="K491" s="267" t="e">
        <f t="shared" si="54"/>
        <v>#DIV/0!</v>
      </c>
      <c r="M491" s="251"/>
      <c r="N491" s="251"/>
      <c r="O491" s="251"/>
      <c r="P491" s="251"/>
      <c r="Q491" s="251"/>
      <c r="R491" s="138"/>
    </row>
    <row r="492" spans="1:18" x14ac:dyDescent="0.25">
      <c r="A492" s="138"/>
      <c r="B492" s="798"/>
      <c r="C492" s="9" t="s">
        <v>131</v>
      </c>
      <c r="D492" s="734"/>
      <c r="E492" s="735"/>
      <c r="F492" s="263"/>
      <c r="G492" s="263"/>
      <c r="H492" s="263"/>
      <c r="I492" s="267">
        <f t="shared" ref="I492:I499" si="55">SUM(F492:H492)</f>
        <v>0</v>
      </c>
      <c r="J492" s="267" t="e">
        <f>I492/'Project Details'!$C$226</f>
        <v>#DIV/0!</v>
      </c>
      <c r="K492" s="267" t="e">
        <f t="shared" si="54"/>
        <v>#DIV/0!</v>
      </c>
      <c r="M492" s="251"/>
      <c r="N492" s="251"/>
      <c r="O492" s="251"/>
      <c r="P492" s="251"/>
      <c r="Q492" s="251"/>
      <c r="R492" s="138"/>
    </row>
    <row r="493" spans="1:18" x14ac:dyDescent="0.25">
      <c r="A493" s="138"/>
      <c r="B493" s="20"/>
      <c r="C493" s="754" t="s">
        <v>462</v>
      </c>
      <c r="D493" s="755"/>
      <c r="E493" s="756"/>
      <c r="F493" s="282">
        <f>SUM(F486:F492)</f>
        <v>0</v>
      </c>
      <c r="G493" s="282">
        <f>SUM(G486:G492)</f>
        <v>0</v>
      </c>
      <c r="H493" s="282">
        <f>SUM(H486:H492)</f>
        <v>0</v>
      </c>
      <c r="I493" s="282">
        <f>SUM(I486:I492)</f>
        <v>0</v>
      </c>
      <c r="J493" s="287"/>
      <c r="K493" s="287"/>
      <c r="R493" s="138"/>
    </row>
    <row r="494" spans="1:18" x14ac:dyDescent="0.25">
      <c r="A494" s="138"/>
      <c r="F494" s="288"/>
      <c r="G494" s="288"/>
      <c r="H494" s="288"/>
      <c r="I494" s="288"/>
      <c r="J494" s="284"/>
      <c r="K494" s="284"/>
      <c r="R494" s="138"/>
    </row>
    <row r="495" spans="1:18" x14ac:dyDescent="0.25">
      <c r="A495" s="138"/>
      <c r="B495" s="795" t="s">
        <v>1167</v>
      </c>
      <c r="C495" s="700" t="s">
        <v>457</v>
      </c>
      <c r="D495" s="701"/>
      <c r="E495" s="702"/>
      <c r="F495" s="263"/>
      <c r="G495" s="263"/>
      <c r="H495" s="263"/>
      <c r="I495" s="267">
        <f t="shared" si="55"/>
        <v>0</v>
      </c>
      <c r="J495" s="267" t="e">
        <f>I495/'Project Details'!$C$226</f>
        <v>#DIV/0!</v>
      </c>
      <c r="K495" s="267" t="e">
        <f>I495/$C$45</f>
        <v>#DIV/0!</v>
      </c>
      <c r="R495" s="138"/>
    </row>
    <row r="496" spans="1:18" x14ac:dyDescent="0.25">
      <c r="A496" s="138"/>
      <c r="B496" s="796"/>
      <c r="C496" s="700" t="s">
        <v>927</v>
      </c>
      <c r="D496" s="701"/>
      <c r="E496" s="702"/>
      <c r="F496" s="263"/>
      <c r="G496" s="263"/>
      <c r="H496" s="263"/>
      <c r="I496" s="267">
        <f t="shared" si="55"/>
        <v>0</v>
      </c>
      <c r="J496" s="267" t="e">
        <f>I496/'Project Details'!$C$226</f>
        <v>#DIV/0!</v>
      </c>
      <c r="K496" s="267" t="e">
        <f>I496/$C$45</f>
        <v>#DIV/0!</v>
      </c>
      <c r="R496" s="138"/>
    </row>
    <row r="497" spans="1:18" x14ac:dyDescent="0.25">
      <c r="A497" s="138"/>
      <c r="B497" s="796"/>
      <c r="C497" s="700" t="s">
        <v>928</v>
      </c>
      <c r="D497" s="701"/>
      <c r="E497" s="702"/>
      <c r="F497" s="263"/>
      <c r="G497" s="263"/>
      <c r="H497" s="263"/>
      <c r="I497" s="267">
        <f>SUM(F497:H497)</f>
        <v>0</v>
      </c>
      <c r="J497" s="267" t="e">
        <f>I497/'Project Details'!$C$226</f>
        <v>#DIV/0!</v>
      </c>
      <c r="K497" s="267" t="e">
        <f>I497/$C$45</f>
        <v>#DIV/0!</v>
      </c>
      <c r="R497" s="138"/>
    </row>
    <row r="498" spans="1:18" x14ac:dyDescent="0.25">
      <c r="A498" s="138"/>
      <c r="B498" s="797"/>
      <c r="C498" s="9" t="s">
        <v>131</v>
      </c>
      <c r="D498" s="734"/>
      <c r="E498" s="735"/>
      <c r="F498" s="263"/>
      <c r="G498" s="263"/>
      <c r="H498" s="263"/>
      <c r="I498" s="267">
        <f t="shared" si="55"/>
        <v>0</v>
      </c>
      <c r="J498" s="267" t="e">
        <f>I498/'Project Details'!$C$226</f>
        <v>#DIV/0!</v>
      </c>
      <c r="K498" s="267" t="e">
        <f>I498/$C$45</f>
        <v>#DIV/0!</v>
      </c>
      <c r="M498" s="251"/>
      <c r="N498" s="251"/>
      <c r="O498" s="251"/>
      <c r="P498" s="251"/>
      <c r="Q498" s="251"/>
      <c r="R498" s="138"/>
    </row>
    <row r="499" spans="1:18" x14ac:dyDescent="0.25">
      <c r="A499" s="138"/>
      <c r="B499" s="798"/>
      <c r="C499" s="9" t="s">
        <v>131</v>
      </c>
      <c r="D499" s="734"/>
      <c r="E499" s="735"/>
      <c r="F499" s="263"/>
      <c r="G499" s="263"/>
      <c r="H499" s="263"/>
      <c r="I499" s="267">
        <f t="shared" si="55"/>
        <v>0</v>
      </c>
      <c r="J499" s="267" t="e">
        <f>I499/'Project Details'!$C$226</f>
        <v>#DIV/0!</v>
      </c>
      <c r="K499" s="267" t="e">
        <f>I499/$C$45</f>
        <v>#DIV/0!</v>
      </c>
      <c r="M499" s="251"/>
      <c r="N499" s="251"/>
      <c r="O499" s="251"/>
      <c r="P499" s="251"/>
      <c r="Q499" s="251"/>
      <c r="R499" s="138"/>
    </row>
    <row r="500" spans="1:18" x14ac:dyDescent="0.25">
      <c r="A500" s="138"/>
      <c r="B500" s="20"/>
      <c r="C500" s="754" t="s">
        <v>1168</v>
      </c>
      <c r="D500" s="755"/>
      <c r="E500" s="756"/>
      <c r="F500" s="282">
        <f>SUM(F495:F499)</f>
        <v>0</v>
      </c>
      <c r="G500" s="282">
        <f>SUM(G495:G499)</f>
        <v>0</v>
      </c>
      <c r="H500" s="282">
        <f>SUM(H495:H499)</f>
        <v>0</v>
      </c>
      <c r="I500" s="282">
        <f>SUM(I495:I499)</f>
        <v>0</v>
      </c>
      <c r="J500" s="287"/>
      <c r="K500" s="287"/>
      <c r="M500" s="138"/>
      <c r="N500" s="138"/>
      <c r="O500" s="138"/>
      <c r="P500" s="138"/>
      <c r="Q500" s="138"/>
      <c r="R500" s="138"/>
    </row>
    <row r="501" spans="1:18" x14ac:dyDescent="0.25">
      <c r="A501" s="138"/>
      <c r="C501" s="789" t="s">
        <v>151</v>
      </c>
      <c r="D501" s="790"/>
      <c r="E501" s="791"/>
      <c r="F501" s="270">
        <f>F500+F493+F484+F477+F443+F433</f>
        <v>0</v>
      </c>
      <c r="G501" s="270">
        <f>G500+G493+G484+G477+G443+G433</f>
        <v>0</v>
      </c>
      <c r="H501" s="270">
        <f>H500+H493+H484+H477+H443+H433</f>
        <v>0</v>
      </c>
      <c r="I501" s="270">
        <f>I500+I493+I484+I477+I443+I433</f>
        <v>0</v>
      </c>
      <c r="J501" s="289"/>
      <c r="K501" s="284"/>
      <c r="M501" s="138"/>
      <c r="N501" s="138"/>
      <c r="O501" s="138"/>
      <c r="P501" s="138"/>
      <c r="Q501" s="138"/>
      <c r="R501" s="138"/>
    </row>
    <row r="504" spans="1:18" ht="17.399999999999999" x14ac:dyDescent="0.3">
      <c r="A504" s="138"/>
      <c r="B504" s="6" t="s">
        <v>540</v>
      </c>
      <c r="M504" s="138"/>
      <c r="N504" s="138"/>
      <c r="O504" s="138"/>
      <c r="P504" s="138"/>
      <c r="Q504" s="138"/>
      <c r="R504" s="138"/>
    </row>
    <row r="505" spans="1:18" ht="30" customHeight="1" x14ac:dyDescent="0.25">
      <c r="A505" s="138"/>
      <c r="B505" s="783" t="s">
        <v>463</v>
      </c>
      <c r="C505" s="784"/>
      <c r="D505" s="785"/>
      <c r="E505" s="742" t="s">
        <v>464</v>
      </c>
      <c r="F505" s="743"/>
      <c r="G505" s="743"/>
      <c r="H505" s="743"/>
      <c r="I505" s="743"/>
      <c r="J505" s="743"/>
      <c r="K505" s="743"/>
      <c r="L505" s="744"/>
      <c r="M505" s="138"/>
      <c r="N505" s="138"/>
      <c r="O505" s="138"/>
      <c r="P505" s="138"/>
      <c r="Q505" s="138"/>
      <c r="R505" s="138"/>
    </row>
    <row r="506" spans="1:18" ht="30" customHeight="1" x14ac:dyDescent="0.25">
      <c r="A506" s="138"/>
      <c r="B506" s="786" t="s">
        <v>465</v>
      </c>
      <c r="C506" s="787"/>
      <c r="D506" s="788"/>
      <c r="E506" s="745" t="s">
        <v>466</v>
      </c>
      <c r="F506" s="746"/>
      <c r="G506" s="746"/>
      <c r="H506" s="746"/>
      <c r="I506" s="746"/>
      <c r="J506" s="746"/>
      <c r="K506" s="746"/>
      <c r="L506" s="747"/>
      <c r="M506" s="138"/>
      <c r="N506" s="138"/>
      <c r="O506" s="138"/>
      <c r="P506" s="138"/>
      <c r="Q506" s="138"/>
      <c r="R506" s="138"/>
    </row>
    <row r="507" spans="1:18" ht="45" customHeight="1" x14ac:dyDescent="0.25">
      <c r="A507" s="138"/>
      <c r="B507" s="783" t="s">
        <v>467</v>
      </c>
      <c r="C507" s="784"/>
      <c r="D507" s="785"/>
      <c r="E507" s="742" t="s">
        <v>1371</v>
      </c>
      <c r="F507" s="743"/>
      <c r="G507" s="743"/>
      <c r="H507" s="743"/>
      <c r="I507" s="743"/>
      <c r="J507" s="743"/>
      <c r="K507" s="743"/>
      <c r="L507" s="744"/>
      <c r="M507" s="138"/>
      <c r="N507" s="138"/>
      <c r="O507" s="138"/>
      <c r="P507" s="138"/>
      <c r="Q507" s="138"/>
      <c r="R507" s="138"/>
    </row>
    <row r="508" spans="1:18" ht="45" customHeight="1" x14ac:dyDescent="0.25">
      <c r="A508" s="138"/>
      <c r="B508" s="786" t="s">
        <v>468</v>
      </c>
      <c r="C508" s="787"/>
      <c r="D508" s="788"/>
      <c r="E508" s="745" t="s">
        <v>1372</v>
      </c>
      <c r="F508" s="746"/>
      <c r="G508" s="746"/>
      <c r="H508" s="746"/>
      <c r="I508" s="746"/>
      <c r="J508" s="746"/>
      <c r="K508" s="746"/>
      <c r="L508" s="747"/>
      <c r="M508" s="138"/>
      <c r="N508" s="138"/>
      <c r="O508" s="138"/>
      <c r="P508" s="138"/>
      <c r="Q508" s="138"/>
      <c r="R508" s="138"/>
    </row>
    <row r="509" spans="1:18" ht="30" customHeight="1" x14ac:dyDescent="0.25">
      <c r="A509" s="138"/>
      <c r="B509" s="783" t="s">
        <v>469</v>
      </c>
      <c r="C509" s="784"/>
      <c r="D509" s="785"/>
      <c r="E509" s="742" t="s">
        <v>1373</v>
      </c>
      <c r="F509" s="743"/>
      <c r="G509" s="743"/>
      <c r="H509" s="743"/>
      <c r="I509" s="743"/>
      <c r="J509" s="743"/>
      <c r="K509" s="743"/>
      <c r="L509" s="744"/>
      <c r="M509" s="138"/>
      <c r="N509" s="138"/>
      <c r="O509" s="138"/>
      <c r="P509" s="138"/>
      <c r="Q509" s="138"/>
      <c r="R509" s="138"/>
    </row>
    <row r="510" spans="1:18" ht="30" customHeight="1" x14ac:dyDescent="0.25">
      <c r="A510" s="138"/>
      <c r="B510" s="786" t="s">
        <v>470</v>
      </c>
      <c r="C510" s="787"/>
      <c r="D510" s="788"/>
      <c r="E510" s="745" t="s">
        <v>1374</v>
      </c>
      <c r="F510" s="746"/>
      <c r="G510" s="746"/>
      <c r="H510" s="746"/>
      <c r="I510" s="746"/>
      <c r="J510" s="746"/>
      <c r="K510" s="746"/>
      <c r="L510" s="747"/>
      <c r="M510" s="138"/>
      <c r="N510" s="138"/>
      <c r="O510" s="138"/>
      <c r="P510" s="138"/>
      <c r="Q510" s="138"/>
      <c r="R510" s="138"/>
    </row>
    <row r="511" spans="1:18" ht="30" customHeight="1" x14ac:dyDescent="0.25">
      <c r="A511" s="138"/>
      <c r="B511" s="783" t="s">
        <v>471</v>
      </c>
      <c r="C511" s="784"/>
      <c r="D511" s="785"/>
      <c r="E511" s="742" t="s">
        <v>472</v>
      </c>
      <c r="F511" s="743"/>
      <c r="G511" s="743"/>
      <c r="H511" s="743"/>
      <c r="I511" s="743"/>
      <c r="J511" s="743"/>
      <c r="K511" s="743"/>
      <c r="L511" s="744"/>
      <c r="M511" s="138"/>
      <c r="N511" s="138"/>
      <c r="O511" s="138"/>
      <c r="P511" s="138"/>
      <c r="Q511" s="138"/>
      <c r="R511" s="138"/>
    </row>
    <row r="512" spans="1:18" ht="30" customHeight="1" x14ac:dyDescent="0.25">
      <c r="A512" s="138"/>
      <c r="B512" s="786" t="s">
        <v>473</v>
      </c>
      <c r="C512" s="787"/>
      <c r="D512" s="788"/>
      <c r="E512" s="745" t="s">
        <v>474</v>
      </c>
      <c r="F512" s="746"/>
      <c r="G512" s="746"/>
      <c r="H512" s="746"/>
      <c r="I512" s="746"/>
      <c r="J512" s="746"/>
      <c r="K512" s="746"/>
      <c r="L512" s="747"/>
      <c r="M512" s="138"/>
      <c r="N512" s="138"/>
      <c r="O512" s="138"/>
      <c r="P512" s="138"/>
      <c r="Q512" s="138"/>
      <c r="R512" s="138"/>
    </row>
    <row r="513" spans="1:18" ht="30" customHeight="1" x14ac:dyDescent="0.25">
      <c r="A513" s="138"/>
      <c r="B513" s="783" t="s">
        <v>475</v>
      </c>
      <c r="C513" s="784"/>
      <c r="D513" s="785"/>
      <c r="E513" s="742" t="s">
        <v>476</v>
      </c>
      <c r="F513" s="743"/>
      <c r="G513" s="743"/>
      <c r="H513" s="743"/>
      <c r="I513" s="743"/>
      <c r="J513" s="743"/>
      <c r="K513" s="743"/>
      <c r="L513" s="744"/>
      <c r="M513" s="138"/>
      <c r="N513" s="138"/>
      <c r="O513" s="138"/>
      <c r="P513" s="138"/>
      <c r="Q513" s="138"/>
      <c r="R513" s="138"/>
    </row>
    <row r="514" spans="1:18" ht="30" customHeight="1" x14ac:dyDescent="0.25">
      <c r="A514" s="138"/>
      <c r="B514" s="786" t="s">
        <v>477</v>
      </c>
      <c r="C514" s="787"/>
      <c r="D514" s="788"/>
      <c r="E514" s="745" t="s">
        <v>478</v>
      </c>
      <c r="F514" s="746"/>
      <c r="G514" s="746"/>
      <c r="H514" s="746"/>
      <c r="I514" s="746"/>
      <c r="J514" s="746"/>
      <c r="K514" s="746"/>
      <c r="L514" s="747"/>
      <c r="M514" s="138"/>
      <c r="N514" s="138"/>
      <c r="O514" s="138"/>
      <c r="P514" s="138"/>
      <c r="Q514" s="138"/>
      <c r="R514" s="138"/>
    </row>
    <row r="515" spans="1:18" ht="30" customHeight="1" x14ac:dyDescent="0.25">
      <c r="A515" s="138"/>
      <c r="B515" s="783" t="s">
        <v>479</v>
      </c>
      <c r="C515" s="784"/>
      <c r="D515" s="785"/>
      <c r="E515" s="742" t="s">
        <v>480</v>
      </c>
      <c r="F515" s="743"/>
      <c r="G515" s="743"/>
      <c r="H515" s="743"/>
      <c r="I515" s="743"/>
      <c r="J515" s="743"/>
      <c r="K515" s="743"/>
      <c r="L515" s="744"/>
      <c r="M515" s="138"/>
      <c r="N515" s="138"/>
      <c r="O515" s="138"/>
      <c r="P515" s="138"/>
      <c r="Q515" s="138"/>
      <c r="R515" s="138"/>
    </row>
    <row r="516" spans="1:18" ht="30" customHeight="1" x14ac:dyDescent="0.25">
      <c r="A516" s="138"/>
      <c r="B516" s="786" t="s">
        <v>481</v>
      </c>
      <c r="C516" s="787"/>
      <c r="D516" s="788"/>
      <c r="E516" s="745" t="s">
        <v>482</v>
      </c>
      <c r="F516" s="746"/>
      <c r="G516" s="746"/>
      <c r="H516" s="746"/>
      <c r="I516" s="746"/>
      <c r="J516" s="746"/>
      <c r="K516" s="746"/>
      <c r="L516" s="747"/>
      <c r="M516" s="138"/>
      <c r="N516" s="138"/>
      <c r="O516" s="138"/>
      <c r="P516" s="138"/>
      <c r="Q516" s="138"/>
      <c r="R516" s="138"/>
    </row>
    <row r="517" spans="1:18" ht="30" customHeight="1" x14ac:dyDescent="0.25">
      <c r="A517" s="138"/>
      <c r="B517" s="783" t="s">
        <v>483</v>
      </c>
      <c r="C517" s="784"/>
      <c r="D517" s="785"/>
      <c r="E517" s="742" t="s">
        <v>484</v>
      </c>
      <c r="F517" s="743"/>
      <c r="G517" s="743"/>
      <c r="H517" s="743"/>
      <c r="I517" s="743"/>
      <c r="J517" s="743"/>
      <c r="K517" s="743"/>
      <c r="L517" s="744"/>
      <c r="M517" s="138"/>
      <c r="N517" s="138"/>
      <c r="O517" s="138"/>
      <c r="P517" s="138"/>
      <c r="Q517" s="138"/>
      <c r="R517" s="138"/>
    </row>
    <row r="518" spans="1:18" ht="45" customHeight="1" x14ac:dyDescent="0.25">
      <c r="A518" s="138"/>
      <c r="B518" s="786" t="s">
        <v>485</v>
      </c>
      <c r="C518" s="787"/>
      <c r="D518" s="788"/>
      <c r="E518" s="745" t="s">
        <v>1375</v>
      </c>
      <c r="F518" s="746"/>
      <c r="G518" s="746"/>
      <c r="H518" s="746"/>
      <c r="I518" s="746"/>
      <c r="J518" s="746"/>
      <c r="K518" s="746"/>
      <c r="L518" s="747"/>
      <c r="M518" s="138"/>
      <c r="N518" s="138"/>
      <c r="O518" s="138"/>
      <c r="P518" s="138"/>
      <c r="Q518" s="138"/>
      <c r="R518" s="138"/>
    </row>
    <row r="519" spans="1:18" ht="30" customHeight="1" x14ac:dyDescent="0.25">
      <c r="A519" s="138"/>
      <c r="B519" s="783" t="s">
        <v>486</v>
      </c>
      <c r="C519" s="784"/>
      <c r="D519" s="785"/>
      <c r="E519" s="742" t="s">
        <v>1284</v>
      </c>
      <c r="F519" s="743"/>
      <c r="G519" s="743"/>
      <c r="H519" s="743"/>
      <c r="I519" s="743"/>
      <c r="J519" s="743"/>
      <c r="K519" s="743"/>
      <c r="L519" s="744"/>
      <c r="M519" s="138"/>
      <c r="N519" s="138"/>
      <c r="O519" s="138"/>
      <c r="P519" s="138"/>
      <c r="Q519" s="138"/>
      <c r="R519" s="138"/>
    </row>
    <row r="520" spans="1:18" ht="30" customHeight="1" x14ac:dyDescent="0.25">
      <c r="A520" s="138"/>
      <c r="B520" s="786" t="s">
        <v>487</v>
      </c>
      <c r="C520" s="787"/>
      <c r="D520" s="788"/>
      <c r="E520" s="745" t="s">
        <v>488</v>
      </c>
      <c r="F520" s="746"/>
      <c r="G520" s="746"/>
      <c r="H520" s="746"/>
      <c r="I520" s="746"/>
      <c r="J520" s="746"/>
      <c r="K520" s="746"/>
      <c r="L520" s="747"/>
      <c r="M520" s="138"/>
      <c r="N520" s="138"/>
      <c r="O520" s="138"/>
      <c r="P520" s="138"/>
      <c r="Q520" s="138"/>
      <c r="R520" s="138"/>
    </row>
    <row r="521" spans="1:18" ht="30" customHeight="1" x14ac:dyDescent="0.25">
      <c r="A521" s="138"/>
      <c r="B521" s="783" t="s">
        <v>489</v>
      </c>
      <c r="C521" s="784"/>
      <c r="D521" s="785"/>
      <c r="E521" s="742" t="s">
        <v>490</v>
      </c>
      <c r="F521" s="743"/>
      <c r="G521" s="743"/>
      <c r="H521" s="743"/>
      <c r="I521" s="743"/>
      <c r="J521" s="743"/>
      <c r="K521" s="743"/>
      <c r="L521" s="744"/>
      <c r="M521" s="138"/>
      <c r="N521" s="138"/>
      <c r="O521" s="138"/>
      <c r="P521" s="138"/>
      <c r="Q521" s="138"/>
      <c r="R521" s="138"/>
    </row>
    <row r="522" spans="1:18" ht="30" customHeight="1" x14ac:dyDescent="0.25">
      <c r="A522" s="138"/>
      <c r="B522" s="786" t="s">
        <v>491</v>
      </c>
      <c r="C522" s="787"/>
      <c r="D522" s="788"/>
      <c r="E522" s="745" t="s">
        <v>1376</v>
      </c>
      <c r="F522" s="746"/>
      <c r="G522" s="746"/>
      <c r="H522" s="746"/>
      <c r="I522" s="746"/>
      <c r="J522" s="746"/>
      <c r="K522" s="746"/>
      <c r="L522" s="747"/>
      <c r="M522" s="138"/>
      <c r="N522" s="138"/>
      <c r="O522" s="138"/>
      <c r="P522" s="138"/>
      <c r="Q522" s="138"/>
      <c r="R522" s="138"/>
    </row>
    <row r="523" spans="1:18" ht="30" customHeight="1" x14ac:dyDescent="0.25">
      <c r="A523" s="138"/>
      <c r="B523" s="783" t="s">
        <v>492</v>
      </c>
      <c r="C523" s="784"/>
      <c r="D523" s="785"/>
      <c r="E523" s="742" t="s">
        <v>493</v>
      </c>
      <c r="F523" s="743"/>
      <c r="G523" s="743"/>
      <c r="H523" s="743"/>
      <c r="I523" s="743"/>
      <c r="J523" s="743"/>
      <c r="K523" s="743"/>
      <c r="L523" s="744"/>
      <c r="M523" s="138"/>
      <c r="N523" s="138"/>
      <c r="O523" s="138"/>
      <c r="P523" s="138"/>
      <c r="Q523" s="138"/>
      <c r="R523" s="138"/>
    </row>
    <row r="524" spans="1:18" ht="30" customHeight="1" x14ac:dyDescent="0.25">
      <c r="A524" s="138"/>
      <c r="B524" s="786" t="s">
        <v>494</v>
      </c>
      <c r="C524" s="787"/>
      <c r="D524" s="788"/>
      <c r="E524" s="745" t="s">
        <v>495</v>
      </c>
      <c r="F524" s="746"/>
      <c r="G524" s="746"/>
      <c r="H524" s="746"/>
      <c r="I524" s="746"/>
      <c r="J524" s="746"/>
      <c r="K524" s="746"/>
      <c r="L524" s="747"/>
      <c r="M524" s="138"/>
      <c r="N524" s="138"/>
      <c r="O524" s="138"/>
      <c r="P524" s="138"/>
      <c r="Q524" s="138"/>
      <c r="R524" s="138"/>
    </row>
    <row r="525" spans="1:18" ht="30" customHeight="1" x14ac:dyDescent="0.25">
      <c r="A525" s="138"/>
      <c r="B525" s="783" t="s">
        <v>496</v>
      </c>
      <c r="C525" s="784"/>
      <c r="D525" s="785"/>
      <c r="E525" s="742" t="s">
        <v>497</v>
      </c>
      <c r="F525" s="743"/>
      <c r="G525" s="743"/>
      <c r="H525" s="743"/>
      <c r="I525" s="743"/>
      <c r="J525" s="743"/>
      <c r="K525" s="743"/>
      <c r="L525" s="744"/>
      <c r="M525" s="138"/>
      <c r="N525" s="138"/>
      <c r="O525" s="138"/>
      <c r="P525" s="138"/>
      <c r="Q525" s="138"/>
      <c r="R525" s="138"/>
    </row>
    <row r="526" spans="1:18" ht="30" customHeight="1" x14ac:dyDescent="0.25">
      <c r="A526" s="138"/>
      <c r="B526" s="786" t="s">
        <v>498</v>
      </c>
      <c r="C526" s="787"/>
      <c r="D526" s="788"/>
      <c r="E526" s="745" t="s">
        <v>499</v>
      </c>
      <c r="F526" s="746"/>
      <c r="G526" s="746"/>
      <c r="H526" s="746"/>
      <c r="I526" s="746"/>
      <c r="J526" s="746"/>
      <c r="K526" s="746"/>
      <c r="L526" s="747"/>
      <c r="M526" s="138"/>
      <c r="N526" s="138"/>
      <c r="O526" s="138"/>
      <c r="P526" s="138"/>
      <c r="Q526" s="138"/>
      <c r="R526" s="138"/>
    </row>
    <row r="527" spans="1:18" ht="30" customHeight="1" x14ac:dyDescent="0.25">
      <c r="A527" s="138"/>
      <c r="B527" s="783" t="s">
        <v>500</v>
      </c>
      <c r="C527" s="784"/>
      <c r="D527" s="785"/>
      <c r="E527" s="742" t="s">
        <v>501</v>
      </c>
      <c r="F527" s="743"/>
      <c r="G527" s="743"/>
      <c r="H527" s="743"/>
      <c r="I527" s="743"/>
      <c r="J527" s="743"/>
      <c r="K527" s="743"/>
      <c r="L527" s="744"/>
      <c r="M527" s="138"/>
      <c r="N527" s="138"/>
      <c r="O527" s="138"/>
      <c r="P527" s="138"/>
      <c r="Q527" s="138"/>
      <c r="R527" s="138"/>
    </row>
    <row r="528" spans="1:18" ht="30" customHeight="1" x14ac:dyDescent="0.25">
      <c r="A528" s="138"/>
      <c r="B528" s="786" t="s">
        <v>502</v>
      </c>
      <c r="C528" s="787"/>
      <c r="D528" s="788"/>
      <c r="E528" s="745" t="s">
        <v>503</v>
      </c>
      <c r="F528" s="746"/>
      <c r="G528" s="746"/>
      <c r="H528" s="746"/>
      <c r="I528" s="746"/>
      <c r="J528" s="746"/>
      <c r="K528" s="746"/>
      <c r="L528" s="747"/>
      <c r="M528" s="138"/>
      <c r="N528" s="138"/>
      <c r="O528" s="138"/>
      <c r="P528" s="138"/>
      <c r="Q528" s="138"/>
      <c r="R528" s="138"/>
    </row>
    <row r="529" spans="1:18" ht="30" customHeight="1" x14ac:dyDescent="0.25">
      <c r="A529" s="138"/>
      <c r="B529" s="783" t="s">
        <v>504</v>
      </c>
      <c r="C529" s="784"/>
      <c r="D529" s="785"/>
      <c r="E529" s="742" t="s">
        <v>505</v>
      </c>
      <c r="F529" s="743"/>
      <c r="G529" s="743"/>
      <c r="H529" s="743"/>
      <c r="I529" s="743"/>
      <c r="J529" s="743"/>
      <c r="K529" s="743"/>
      <c r="L529" s="744"/>
      <c r="M529" s="138"/>
      <c r="N529" s="138"/>
      <c r="O529" s="138"/>
      <c r="P529" s="138"/>
      <c r="Q529" s="138"/>
      <c r="R529" s="138"/>
    </row>
    <row r="530" spans="1:18" ht="30" customHeight="1" x14ac:dyDescent="0.25">
      <c r="A530" s="138"/>
      <c r="B530" s="786" t="s">
        <v>506</v>
      </c>
      <c r="C530" s="787"/>
      <c r="D530" s="788"/>
      <c r="E530" s="745" t="s">
        <v>507</v>
      </c>
      <c r="F530" s="746"/>
      <c r="G530" s="746"/>
      <c r="H530" s="746"/>
      <c r="I530" s="746"/>
      <c r="J530" s="746"/>
      <c r="K530" s="746"/>
      <c r="L530" s="747"/>
      <c r="M530" s="138"/>
      <c r="N530" s="138"/>
      <c r="O530" s="138"/>
      <c r="P530" s="138"/>
      <c r="Q530" s="138"/>
      <c r="R530" s="138"/>
    </row>
    <row r="531" spans="1:18" ht="30" customHeight="1" x14ac:dyDescent="0.25">
      <c r="A531" s="138"/>
      <c r="B531" s="783" t="s">
        <v>508</v>
      </c>
      <c r="C531" s="784"/>
      <c r="D531" s="785"/>
      <c r="E531" s="742" t="s">
        <v>509</v>
      </c>
      <c r="F531" s="743"/>
      <c r="G531" s="743"/>
      <c r="H531" s="743"/>
      <c r="I531" s="743"/>
      <c r="J531" s="743"/>
      <c r="K531" s="743"/>
      <c r="L531" s="744"/>
      <c r="M531" s="138"/>
      <c r="N531" s="138"/>
      <c r="O531" s="138"/>
      <c r="P531" s="138"/>
      <c r="Q531" s="138"/>
      <c r="R531" s="138"/>
    </row>
    <row r="532" spans="1:18" ht="30" customHeight="1" x14ac:dyDescent="0.25">
      <c r="A532" s="138"/>
      <c r="B532" s="786" t="s">
        <v>510</v>
      </c>
      <c r="C532" s="787"/>
      <c r="D532" s="788"/>
      <c r="E532" s="745" t="s">
        <v>1189</v>
      </c>
      <c r="F532" s="746"/>
      <c r="G532" s="746"/>
      <c r="H532" s="746"/>
      <c r="I532" s="746"/>
      <c r="J532" s="746"/>
      <c r="K532" s="746"/>
      <c r="L532" s="747"/>
      <c r="M532" s="138"/>
      <c r="N532" s="138"/>
      <c r="O532" s="138"/>
      <c r="P532" s="138"/>
      <c r="Q532" s="138"/>
      <c r="R532" s="138"/>
    </row>
    <row r="533" spans="1:18" ht="30" customHeight="1" x14ac:dyDescent="0.25">
      <c r="A533" s="138"/>
      <c r="B533" s="783" t="s">
        <v>511</v>
      </c>
      <c r="C533" s="784"/>
      <c r="D533" s="785"/>
      <c r="E533" s="742" t="s">
        <v>512</v>
      </c>
      <c r="F533" s="743"/>
      <c r="G533" s="743"/>
      <c r="H533" s="743"/>
      <c r="I533" s="743"/>
      <c r="J533" s="743"/>
      <c r="K533" s="743"/>
      <c r="L533" s="744"/>
      <c r="M533" s="138"/>
      <c r="N533" s="138"/>
      <c r="O533" s="138"/>
      <c r="P533" s="138"/>
      <c r="Q533" s="138"/>
      <c r="R533" s="138"/>
    </row>
    <row r="534" spans="1:18" ht="30" customHeight="1" x14ac:dyDescent="0.25">
      <c r="A534" s="138"/>
      <c r="B534" s="786" t="s">
        <v>513</v>
      </c>
      <c r="C534" s="787"/>
      <c r="D534" s="788"/>
      <c r="E534" s="745" t="s">
        <v>514</v>
      </c>
      <c r="F534" s="746"/>
      <c r="G534" s="746"/>
      <c r="H534" s="746"/>
      <c r="I534" s="746"/>
      <c r="J534" s="746"/>
      <c r="K534" s="746"/>
      <c r="L534" s="747"/>
      <c r="M534" s="138"/>
      <c r="N534" s="138"/>
      <c r="O534" s="138"/>
      <c r="P534" s="138"/>
      <c r="Q534" s="138"/>
      <c r="R534" s="138"/>
    </row>
    <row r="535" spans="1:18" ht="30" customHeight="1" x14ac:dyDescent="0.25">
      <c r="A535" s="138"/>
      <c r="B535" s="783" t="s">
        <v>515</v>
      </c>
      <c r="C535" s="784"/>
      <c r="D535" s="785"/>
      <c r="E535" s="742" t="s">
        <v>516</v>
      </c>
      <c r="F535" s="743"/>
      <c r="G535" s="743"/>
      <c r="H535" s="743"/>
      <c r="I535" s="743"/>
      <c r="J535" s="743"/>
      <c r="K535" s="743"/>
      <c r="L535" s="744"/>
      <c r="M535" s="138"/>
      <c r="N535" s="138"/>
      <c r="O535" s="138"/>
      <c r="P535" s="138"/>
      <c r="Q535" s="138"/>
      <c r="R535" s="138"/>
    </row>
    <row r="536" spans="1:18" ht="30" customHeight="1" x14ac:dyDescent="0.25">
      <c r="A536" s="138"/>
      <c r="B536" s="786" t="s">
        <v>517</v>
      </c>
      <c r="C536" s="787"/>
      <c r="D536" s="788"/>
      <c r="E536" s="745" t="s">
        <v>518</v>
      </c>
      <c r="F536" s="746"/>
      <c r="G536" s="746"/>
      <c r="H536" s="746"/>
      <c r="I536" s="746"/>
      <c r="J536" s="746"/>
      <c r="K536" s="746"/>
      <c r="L536" s="747"/>
      <c r="M536" s="138"/>
      <c r="N536" s="138"/>
      <c r="O536" s="138"/>
      <c r="P536" s="138"/>
      <c r="Q536" s="138"/>
      <c r="R536" s="138"/>
    </row>
    <row r="537" spans="1:18" ht="30" customHeight="1" x14ac:dyDescent="0.25">
      <c r="A537" s="138"/>
      <c r="B537" s="783" t="s">
        <v>519</v>
      </c>
      <c r="C537" s="784"/>
      <c r="D537" s="785"/>
      <c r="E537" s="742" t="s">
        <v>520</v>
      </c>
      <c r="F537" s="743"/>
      <c r="G537" s="743"/>
      <c r="H537" s="743"/>
      <c r="I537" s="743"/>
      <c r="J537" s="743"/>
      <c r="K537" s="743"/>
      <c r="L537" s="744"/>
      <c r="M537" s="138"/>
      <c r="N537" s="138"/>
      <c r="O537" s="138"/>
      <c r="P537" s="138"/>
      <c r="Q537" s="138"/>
      <c r="R537" s="138"/>
    </row>
    <row r="538" spans="1:18" ht="30" customHeight="1" x14ac:dyDescent="0.25">
      <c r="A538" s="138"/>
      <c r="B538" s="786" t="s">
        <v>521</v>
      </c>
      <c r="C538" s="787"/>
      <c r="D538" s="788"/>
      <c r="E538" s="745" t="s">
        <v>522</v>
      </c>
      <c r="F538" s="746"/>
      <c r="G538" s="746"/>
      <c r="H538" s="746"/>
      <c r="I538" s="746"/>
      <c r="J538" s="746"/>
      <c r="K538" s="746"/>
      <c r="L538" s="747"/>
      <c r="M538" s="138"/>
      <c r="N538" s="138"/>
      <c r="O538" s="138"/>
      <c r="P538" s="138"/>
      <c r="Q538" s="138"/>
      <c r="R538" s="138"/>
    </row>
    <row r="539" spans="1:18" ht="30" customHeight="1" x14ac:dyDescent="0.25">
      <c r="A539" s="138"/>
      <c r="B539" s="783" t="s">
        <v>523</v>
      </c>
      <c r="C539" s="784"/>
      <c r="D539" s="785"/>
      <c r="E539" s="742" t="s">
        <v>1281</v>
      </c>
      <c r="F539" s="743"/>
      <c r="G539" s="743"/>
      <c r="H539" s="743"/>
      <c r="I539" s="743"/>
      <c r="J539" s="743"/>
      <c r="K539" s="743"/>
      <c r="L539" s="744"/>
      <c r="M539" s="138"/>
      <c r="N539" s="138"/>
      <c r="O539" s="138"/>
      <c r="P539" s="138"/>
      <c r="Q539" s="138"/>
      <c r="R539" s="138"/>
    </row>
    <row r="540" spans="1:18" ht="30" customHeight="1" x14ac:dyDescent="0.25">
      <c r="A540" s="138"/>
      <c r="B540" s="786" t="s">
        <v>524</v>
      </c>
      <c r="C540" s="787"/>
      <c r="D540" s="788"/>
      <c r="E540" s="745" t="s">
        <v>525</v>
      </c>
      <c r="F540" s="746"/>
      <c r="G540" s="746"/>
      <c r="H540" s="746"/>
      <c r="I540" s="746"/>
      <c r="J540" s="746"/>
      <c r="K540" s="746"/>
      <c r="L540" s="747"/>
      <c r="M540" s="138"/>
      <c r="N540" s="138"/>
      <c r="O540" s="138"/>
      <c r="P540" s="138"/>
      <c r="Q540" s="138"/>
      <c r="R540" s="138"/>
    </row>
    <row r="541" spans="1:18" ht="30" customHeight="1" x14ac:dyDescent="0.25">
      <c r="A541" s="138"/>
      <c r="B541" s="783" t="s">
        <v>526</v>
      </c>
      <c r="C541" s="784"/>
      <c r="D541" s="785"/>
      <c r="E541" s="742" t="s">
        <v>1190</v>
      </c>
      <c r="F541" s="743"/>
      <c r="G541" s="743"/>
      <c r="H541" s="743"/>
      <c r="I541" s="743"/>
      <c r="J541" s="743"/>
      <c r="K541" s="743"/>
      <c r="L541" s="744"/>
      <c r="M541" s="138"/>
      <c r="N541" s="138"/>
      <c r="O541" s="138"/>
      <c r="P541" s="138"/>
      <c r="Q541" s="138"/>
      <c r="R541" s="138"/>
    </row>
    <row r="542" spans="1:18" ht="30" customHeight="1" x14ac:dyDescent="0.25">
      <c r="A542" s="138"/>
      <c r="B542" s="786" t="s">
        <v>446</v>
      </c>
      <c r="C542" s="787"/>
      <c r="D542" s="788"/>
      <c r="E542" s="745" t="s">
        <v>527</v>
      </c>
      <c r="F542" s="746"/>
      <c r="G542" s="746"/>
      <c r="H542" s="746"/>
      <c r="I542" s="746"/>
      <c r="J542" s="746"/>
      <c r="K542" s="746"/>
      <c r="L542" s="747"/>
      <c r="M542" s="138"/>
      <c r="N542" s="138"/>
      <c r="O542" s="138"/>
      <c r="P542" s="138"/>
      <c r="Q542" s="138"/>
      <c r="R542" s="138"/>
    </row>
    <row r="543" spans="1:18" ht="44.25" customHeight="1" x14ac:dyDescent="0.25">
      <c r="A543" s="138"/>
      <c r="B543" s="783" t="s">
        <v>528</v>
      </c>
      <c r="C543" s="784"/>
      <c r="D543" s="785"/>
      <c r="E543" s="742" t="s">
        <v>1377</v>
      </c>
      <c r="F543" s="743"/>
      <c r="G543" s="743"/>
      <c r="H543" s="743"/>
      <c r="I543" s="743"/>
      <c r="J543" s="743"/>
      <c r="K543" s="743"/>
      <c r="L543" s="744"/>
      <c r="M543" s="138"/>
      <c r="N543" s="138"/>
      <c r="O543" s="138"/>
      <c r="P543" s="138"/>
      <c r="Q543" s="138"/>
      <c r="R543" s="138"/>
    </row>
    <row r="544" spans="1:18" ht="43.5" customHeight="1" x14ac:dyDescent="0.25">
      <c r="A544" s="138"/>
      <c r="B544" s="786" t="s">
        <v>529</v>
      </c>
      <c r="C544" s="787"/>
      <c r="D544" s="788"/>
      <c r="E544" s="745" t="s">
        <v>1378</v>
      </c>
      <c r="F544" s="746"/>
      <c r="G544" s="746"/>
      <c r="H544" s="746"/>
      <c r="I544" s="746"/>
      <c r="J544" s="746"/>
      <c r="K544" s="746"/>
      <c r="L544" s="747"/>
      <c r="M544" s="138"/>
      <c r="N544" s="138"/>
      <c r="O544" s="138"/>
      <c r="P544" s="138"/>
      <c r="Q544" s="138"/>
      <c r="R544" s="138"/>
    </row>
    <row r="545" spans="1:18" ht="30" customHeight="1" x14ac:dyDescent="0.25">
      <c r="A545" s="138"/>
      <c r="B545" s="783" t="s">
        <v>530</v>
      </c>
      <c r="C545" s="784"/>
      <c r="D545" s="785"/>
      <c r="E545" s="742" t="s">
        <v>531</v>
      </c>
      <c r="F545" s="743"/>
      <c r="G545" s="743"/>
      <c r="H545" s="743"/>
      <c r="I545" s="743"/>
      <c r="J545" s="743"/>
      <c r="K545" s="743"/>
      <c r="L545" s="744"/>
      <c r="M545" s="138"/>
      <c r="N545" s="138"/>
      <c r="O545" s="138"/>
      <c r="P545" s="138"/>
      <c r="Q545" s="138"/>
      <c r="R545" s="138"/>
    </row>
    <row r="546" spans="1:18" x14ac:dyDescent="0.25">
      <c r="A546" s="138"/>
      <c r="B546" s="22"/>
      <c r="C546" s="22"/>
      <c r="D546" s="22"/>
      <c r="E546" s="22"/>
      <c r="F546" s="22"/>
      <c r="G546" s="22"/>
      <c r="H546" s="22"/>
      <c r="I546" s="22"/>
      <c r="J546" s="22"/>
      <c r="K546" s="22"/>
      <c r="L546" s="22"/>
      <c r="M546" s="138"/>
      <c r="N546" s="138"/>
      <c r="O546" s="138"/>
      <c r="P546" s="138"/>
      <c r="Q546" s="138"/>
      <c r="R546" s="138"/>
    </row>
    <row r="547" spans="1:18" ht="17.399999999999999" x14ac:dyDescent="0.3">
      <c r="A547" s="138"/>
      <c r="B547" s="6" t="s">
        <v>539</v>
      </c>
      <c r="M547" s="138"/>
      <c r="N547" s="138"/>
      <c r="O547" s="138"/>
      <c r="P547" s="138"/>
      <c r="Q547" s="138"/>
      <c r="R547" s="138"/>
    </row>
    <row r="548" spans="1:18" ht="15" customHeight="1" x14ac:dyDescent="0.25">
      <c r="A548" s="138"/>
      <c r="B548" s="783" t="s">
        <v>532</v>
      </c>
      <c r="C548" s="784"/>
      <c r="D548" s="785"/>
      <c r="E548" s="760" t="s">
        <v>533</v>
      </c>
      <c r="F548" s="761"/>
      <c r="G548" s="761"/>
      <c r="H548" s="761"/>
      <c r="I548" s="761"/>
      <c r="J548" s="761"/>
      <c r="K548" s="761"/>
      <c r="L548" s="762"/>
      <c r="M548" s="138"/>
      <c r="N548" s="138"/>
      <c r="O548" s="138"/>
      <c r="P548" s="138"/>
      <c r="Q548" s="138"/>
      <c r="R548" s="138"/>
    </row>
    <row r="549" spans="1:18" ht="15" customHeight="1" x14ac:dyDescent="0.25">
      <c r="A549" s="138"/>
      <c r="B549" s="786" t="s">
        <v>382</v>
      </c>
      <c r="C549" s="787"/>
      <c r="D549" s="788"/>
      <c r="E549" s="757" t="s">
        <v>534</v>
      </c>
      <c r="F549" s="758"/>
      <c r="G549" s="758"/>
      <c r="H549" s="758"/>
      <c r="I549" s="758"/>
      <c r="J549" s="758"/>
      <c r="K549" s="758"/>
      <c r="L549" s="759"/>
      <c r="M549" s="138"/>
      <c r="N549" s="138"/>
      <c r="O549" s="138"/>
      <c r="P549" s="138"/>
      <c r="Q549" s="138"/>
      <c r="R549" s="138"/>
    </row>
    <row r="550" spans="1:18" ht="15" customHeight="1" x14ac:dyDescent="0.25">
      <c r="A550" s="138"/>
      <c r="B550" s="783" t="s">
        <v>535</v>
      </c>
      <c r="C550" s="784"/>
      <c r="D550" s="785"/>
      <c r="E550" s="760" t="s">
        <v>536</v>
      </c>
      <c r="F550" s="761"/>
      <c r="G550" s="761"/>
      <c r="H550" s="761"/>
      <c r="I550" s="761"/>
      <c r="J550" s="761"/>
      <c r="K550" s="761"/>
      <c r="L550" s="762"/>
      <c r="M550" s="138"/>
      <c r="N550" s="138"/>
      <c r="O550" s="138"/>
      <c r="P550" s="138"/>
      <c r="Q550" s="138"/>
      <c r="R550" s="138"/>
    </row>
    <row r="551" spans="1:18" ht="15" customHeight="1" x14ac:dyDescent="0.25">
      <c r="A551" s="138"/>
      <c r="B551" s="786" t="s">
        <v>537</v>
      </c>
      <c r="C551" s="787"/>
      <c r="D551" s="788"/>
      <c r="E551" s="757" t="s">
        <v>538</v>
      </c>
      <c r="F551" s="758"/>
      <c r="G551" s="758"/>
      <c r="H551" s="758"/>
      <c r="I551" s="758"/>
      <c r="J551" s="758"/>
      <c r="K551" s="758"/>
      <c r="L551" s="759"/>
      <c r="M551" s="138"/>
      <c r="N551" s="138"/>
      <c r="O551" s="138"/>
      <c r="P551" s="138"/>
      <c r="Q551" s="138"/>
      <c r="R551" s="138"/>
    </row>
    <row r="552" spans="1:18" x14ac:dyDescent="0.25">
      <c r="A552" s="138"/>
      <c r="B552" s="22"/>
      <c r="C552" s="22"/>
      <c r="D552" s="22"/>
      <c r="E552" s="22"/>
      <c r="F552" s="22"/>
      <c r="G552" s="22"/>
      <c r="H552" s="22"/>
      <c r="I552" s="22"/>
      <c r="J552" s="22"/>
      <c r="K552" s="22"/>
      <c r="L552" s="22"/>
      <c r="M552" s="138"/>
      <c r="N552" s="138"/>
      <c r="O552" s="138"/>
      <c r="P552" s="138"/>
      <c r="Q552" s="138"/>
      <c r="R552" s="138"/>
    </row>
    <row r="553" spans="1:18" ht="17.399999999999999" x14ac:dyDescent="0.3">
      <c r="A553" s="138"/>
      <c r="B553" s="6" t="s">
        <v>541</v>
      </c>
      <c r="M553" s="138"/>
      <c r="N553" s="138"/>
      <c r="O553" s="138"/>
      <c r="P553" s="138"/>
      <c r="Q553" s="138"/>
      <c r="R553" s="138"/>
    </row>
    <row r="554" spans="1:18" ht="30" customHeight="1" x14ac:dyDescent="0.25">
      <c r="A554" s="138"/>
      <c r="B554" s="783" t="s">
        <v>371</v>
      </c>
      <c r="C554" s="784"/>
      <c r="D554" s="785"/>
      <c r="E554" s="760" t="s">
        <v>1379</v>
      </c>
      <c r="F554" s="761"/>
      <c r="G554" s="761"/>
      <c r="H554" s="761"/>
      <c r="I554" s="761"/>
      <c r="J554" s="761"/>
      <c r="K554" s="761"/>
      <c r="L554" s="762"/>
      <c r="M554" s="138"/>
      <c r="N554" s="138"/>
      <c r="O554" s="138"/>
      <c r="P554" s="138"/>
      <c r="Q554" s="138"/>
      <c r="R554" s="138"/>
    </row>
    <row r="555" spans="1:18" ht="15" customHeight="1" x14ac:dyDescent="0.25">
      <c r="A555" s="138"/>
      <c r="B555" s="786" t="s">
        <v>380</v>
      </c>
      <c r="C555" s="787"/>
      <c r="D555" s="788"/>
      <c r="E555" s="757" t="s">
        <v>1380</v>
      </c>
      <c r="F555" s="758"/>
      <c r="G555" s="758"/>
      <c r="H555" s="758"/>
      <c r="I555" s="758"/>
      <c r="J555" s="758"/>
      <c r="K555" s="758"/>
      <c r="L555" s="759"/>
      <c r="M555" s="138"/>
      <c r="N555" s="138"/>
      <c r="O555" s="138"/>
      <c r="P555" s="138"/>
      <c r="Q555" s="138"/>
      <c r="R555" s="138"/>
    </row>
    <row r="556" spans="1:18" ht="15" customHeight="1" x14ac:dyDescent="0.25">
      <c r="A556" s="138"/>
      <c r="B556" s="783" t="s">
        <v>381</v>
      </c>
      <c r="C556" s="784"/>
      <c r="D556" s="785"/>
      <c r="E556" s="760" t="s">
        <v>1381</v>
      </c>
      <c r="F556" s="761"/>
      <c r="G556" s="761"/>
      <c r="H556" s="761"/>
      <c r="I556" s="761"/>
      <c r="J556" s="761"/>
      <c r="K556" s="761"/>
      <c r="L556" s="762"/>
      <c r="M556" s="138"/>
      <c r="N556" s="138"/>
      <c r="O556" s="138"/>
      <c r="P556" s="138"/>
      <c r="Q556" s="138"/>
      <c r="R556" s="138"/>
    </row>
    <row r="557" spans="1:18" x14ac:dyDescent="0.25">
      <c r="A557" s="138"/>
      <c r="B557" s="298" t="s">
        <v>1191</v>
      </c>
      <c r="C557" s="299"/>
      <c r="D557" s="299"/>
      <c r="E557" s="299"/>
      <c r="F557" s="299"/>
      <c r="G557" s="299"/>
      <c r="H557" s="299"/>
      <c r="I557" s="299"/>
      <c r="J557" s="299"/>
      <c r="K557" s="299"/>
      <c r="L557" s="300"/>
      <c r="M557" s="138"/>
      <c r="N557" s="138"/>
      <c r="O557" s="138"/>
      <c r="P557" s="138"/>
      <c r="Q557" s="138"/>
      <c r="R557" s="138"/>
    </row>
  </sheetData>
  <sheetProtection algorithmName="SHA-512" hashValue="957eS7DHylKuJeqfHfaFs1VBTKed2zPNwonrs2qkufad6CZbf2LC08l87johavdlzDMZrvfcll2We1+f84riug==" saltValue="5KQ5AYNy5OyW4wy4QNJuVQ==" spinCount="100000" sheet="1" objects="1" scenarios="1"/>
  <mergeCells count="369">
    <mergeCell ref="C440:E440"/>
    <mergeCell ref="B355:B368"/>
    <mergeCell ref="C357:E357"/>
    <mergeCell ref="C356:E356"/>
    <mergeCell ref="B370:B379"/>
    <mergeCell ref="B381:B392"/>
    <mergeCell ref="C384:E384"/>
    <mergeCell ref="C376:E376"/>
    <mergeCell ref="C383:E383"/>
    <mergeCell ref="C372:E372"/>
    <mergeCell ref="B435:B442"/>
    <mergeCell ref="C362:E362"/>
    <mergeCell ref="C410:J410"/>
    <mergeCell ref="C381:E381"/>
    <mergeCell ref="B538:D538"/>
    <mergeCell ref="B537:D537"/>
    <mergeCell ref="B530:D530"/>
    <mergeCell ref="B529:D529"/>
    <mergeCell ref="B528:D528"/>
    <mergeCell ref="B536:D536"/>
    <mergeCell ref="B535:D535"/>
    <mergeCell ref="B527:D527"/>
    <mergeCell ref="B445:B476"/>
    <mergeCell ref="B479:B483"/>
    <mergeCell ref="B486:B492"/>
    <mergeCell ref="C489:E489"/>
    <mergeCell ref="E513:L513"/>
    <mergeCell ref="E514:L514"/>
    <mergeCell ref="C497:E497"/>
    <mergeCell ref="C496:E496"/>
    <mergeCell ref="C495:E495"/>
    <mergeCell ref="E530:L530"/>
    <mergeCell ref="D483:E483"/>
    <mergeCell ref="D482:E482"/>
    <mergeCell ref="B507:D507"/>
    <mergeCell ref="B524:D524"/>
    <mergeCell ref="C486:E486"/>
    <mergeCell ref="C484:E484"/>
    <mergeCell ref="B289:B298"/>
    <mergeCell ref="C289:E289"/>
    <mergeCell ref="C290:E290"/>
    <mergeCell ref="B544:D544"/>
    <mergeCell ref="B556:D556"/>
    <mergeCell ref="B555:D555"/>
    <mergeCell ref="B554:D554"/>
    <mergeCell ref="B551:D551"/>
    <mergeCell ref="B550:D550"/>
    <mergeCell ref="B549:D549"/>
    <mergeCell ref="B548:D548"/>
    <mergeCell ref="B545:D545"/>
    <mergeCell ref="B543:D543"/>
    <mergeCell ref="B542:D542"/>
    <mergeCell ref="B541:D541"/>
    <mergeCell ref="B540:D540"/>
    <mergeCell ref="B534:D534"/>
    <mergeCell ref="B533:D533"/>
    <mergeCell ref="B532:D532"/>
    <mergeCell ref="B526:D526"/>
    <mergeCell ref="B525:D525"/>
    <mergeCell ref="B539:D539"/>
    <mergeCell ref="C388:E388"/>
    <mergeCell ref="C377:E377"/>
    <mergeCell ref="C275:E275"/>
    <mergeCell ref="C276:E276"/>
    <mergeCell ref="C274:E274"/>
    <mergeCell ref="C278:E278"/>
    <mergeCell ref="B274:B287"/>
    <mergeCell ref="A6:R6"/>
    <mergeCell ref="B98:B101"/>
    <mergeCell ref="C83:D83"/>
    <mergeCell ref="C82:D82"/>
    <mergeCell ref="B141:B158"/>
    <mergeCell ref="B160:B169"/>
    <mergeCell ref="B172:B176"/>
    <mergeCell ref="B103:B109"/>
    <mergeCell ref="B115:B130"/>
    <mergeCell ref="B132:B139"/>
    <mergeCell ref="B90:B96"/>
    <mergeCell ref="L50:Q58"/>
    <mergeCell ref="I49:J49"/>
    <mergeCell ref="C279:E279"/>
    <mergeCell ref="C280:E280"/>
    <mergeCell ref="D286:E286"/>
    <mergeCell ref="C270:E270"/>
    <mergeCell ref="F249:H249"/>
    <mergeCell ref="B257:B265"/>
    <mergeCell ref="B267:B272"/>
    <mergeCell ref="C261:E261"/>
    <mergeCell ref="C260:E260"/>
    <mergeCell ref="C282:E282"/>
    <mergeCell ref="C210:D210"/>
    <mergeCell ref="C284:E284"/>
    <mergeCell ref="C285:E285"/>
    <mergeCell ref="C259:E259"/>
    <mergeCell ref="C258:E258"/>
    <mergeCell ref="C257:E257"/>
    <mergeCell ref="D255:E255"/>
    <mergeCell ref="C252:E252"/>
    <mergeCell ref="C251:E251"/>
    <mergeCell ref="D254:E254"/>
    <mergeCell ref="C269:E269"/>
    <mergeCell ref="C268:E268"/>
    <mergeCell ref="E212:F212"/>
    <mergeCell ref="E213:F213"/>
    <mergeCell ref="E214:F214"/>
    <mergeCell ref="C239:D239"/>
    <mergeCell ref="C236:D236"/>
    <mergeCell ref="B251:B255"/>
    <mergeCell ref="C283:E283"/>
    <mergeCell ref="C215:D215"/>
    <mergeCell ref="D321:E321"/>
    <mergeCell ref="D322:E322"/>
    <mergeCell ref="B313:B317"/>
    <mergeCell ref="D310:E310"/>
    <mergeCell ref="D311:E311"/>
    <mergeCell ref="B319:B322"/>
    <mergeCell ref="C319:E319"/>
    <mergeCell ref="C320:E320"/>
    <mergeCell ref="B300:B311"/>
    <mergeCell ref="C308:E308"/>
    <mergeCell ref="C309:E309"/>
    <mergeCell ref="C300:E300"/>
    <mergeCell ref="C301:E301"/>
    <mergeCell ref="C303:E303"/>
    <mergeCell ref="C314:E314"/>
    <mergeCell ref="C313:E313"/>
    <mergeCell ref="B348:B353"/>
    <mergeCell ref="C350:E350"/>
    <mergeCell ref="C349:E349"/>
    <mergeCell ref="C348:E348"/>
    <mergeCell ref="B338:B346"/>
    <mergeCell ref="C371:E371"/>
    <mergeCell ref="C370:E370"/>
    <mergeCell ref="B400:B403"/>
    <mergeCell ref="B423:B432"/>
    <mergeCell ref="C366:E366"/>
    <mergeCell ref="C358:E358"/>
    <mergeCell ref="C382:E382"/>
    <mergeCell ref="C361:E361"/>
    <mergeCell ref="C365:E365"/>
    <mergeCell ref="C364:E364"/>
    <mergeCell ref="C363:E363"/>
    <mergeCell ref="B394:B398"/>
    <mergeCell ref="C389:E389"/>
    <mergeCell ref="C394:E394"/>
    <mergeCell ref="C344:E344"/>
    <mergeCell ref="C400:E400"/>
    <mergeCell ref="C374:E374"/>
    <mergeCell ref="C360:E360"/>
    <mergeCell ref="C359:E359"/>
    <mergeCell ref="E506:L506"/>
    <mergeCell ref="D476:E476"/>
    <mergeCell ref="D475:E475"/>
    <mergeCell ref="C474:E474"/>
    <mergeCell ref="C473:E473"/>
    <mergeCell ref="B332:B336"/>
    <mergeCell ref="E531:L531"/>
    <mergeCell ref="B510:D510"/>
    <mergeCell ref="B509:D509"/>
    <mergeCell ref="B508:D508"/>
    <mergeCell ref="B495:B499"/>
    <mergeCell ref="B531:D531"/>
    <mergeCell ref="C488:E488"/>
    <mergeCell ref="C487:E487"/>
    <mergeCell ref="B523:D523"/>
    <mergeCell ref="B522:D522"/>
    <mergeCell ref="B521:D521"/>
    <mergeCell ref="B520:D520"/>
    <mergeCell ref="B519:D519"/>
    <mergeCell ref="B518:D518"/>
    <mergeCell ref="B517:D517"/>
    <mergeCell ref="B516:D516"/>
    <mergeCell ref="B515:D515"/>
    <mergeCell ref="B514:D514"/>
    <mergeCell ref="C472:E472"/>
    <mergeCell ref="C471:E471"/>
    <mergeCell ref="C470:E470"/>
    <mergeCell ref="C469:E469"/>
    <mergeCell ref="C468:E468"/>
    <mergeCell ref="C467:E467"/>
    <mergeCell ref="C466:E466"/>
    <mergeCell ref="E533:L533"/>
    <mergeCell ref="E527:L527"/>
    <mergeCell ref="E528:L528"/>
    <mergeCell ref="E529:L529"/>
    <mergeCell ref="E515:L515"/>
    <mergeCell ref="E516:L516"/>
    <mergeCell ref="E517:L517"/>
    <mergeCell ref="E518:L518"/>
    <mergeCell ref="E519:L519"/>
    <mergeCell ref="E520:L520"/>
    <mergeCell ref="E521:L521"/>
    <mergeCell ref="E522:L522"/>
    <mergeCell ref="E523:L523"/>
    <mergeCell ref="C481:E481"/>
    <mergeCell ref="C480:E480"/>
    <mergeCell ref="C479:E479"/>
    <mergeCell ref="C477:E477"/>
    <mergeCell ref="E534:L534"/>
    <mergeCell ref="E535:L535"/>
    <mergeCell ref="E536:L536"/>
    <mergeCell ref="B513:D513"/>
    <mergeCell ref="C493:E493"/>
    <mergeCell ref="D492:E492"/>
    <mergeCell ref="D491:E491"/>
    <mergeCell ref="C490:E490"/>
    <mergeCell ref="B512:D512"/>
    <mergeCell ref="B511:D511"/>
    <mergeCell ref="C501:E501"/>
    <mergeCell ref="C500:E500"/>
    <mergeCell ref="D499:E499"/>
    <mergeCell ref="D498:E498"/>
    <mergeCell ref="B506:D506"/>
    <mergeCell ref="B505:D505"/>
    <mergeCell ref="E507:L507"/>
    <mergeCell ref="E508:L508"/>
    <mergeCell ref="E509:L509"/>
    <mergeCell ref="E510:L510"/>
    <mergeCell ref="E511:L511"/>
    <mergeCell ref="E512:L512"/>
    <mergeCell ref="E505:L505"/>
    <mergeCell ref="E532:L532"/>
    <mergeCell ref="C465:E465"/>
    <mergeCell ref="C464:E464"/>
    <mergeCell ref="C463:E463"/>
    <mergeCell ref="C462:E462"/>
    <mergeCell ref="C461:E461"/>
    <mergeCell ref="C460:E460"/>
    <mergeCell ref="C459:E459"/>
    <mergeCell ref="C458:E458"/>
    <mergeCell ref="C457:E457"/>
    <mergeCell ref="C456:E456"/>
    <mergeCell ref="C455:E455"/>
    <mergeCell ref="C454:E454"/>
    <mergeCell ref="C453:E453"/>
    <mergeCell ref="C452:E452"/>
    <mergeCell ref="C451:E451"/>
    <mergeCell ref="C450:E450"/>
    <mergeCell ref="C449:E449"/>
    <mergeCell ref="C448:E448"/>
    <mergeCell ref="C324:E324"/>
    <mergeCell ref="C240:D240"/>
    <mergeCell ref="C253:E253"/>
    <mergeCell ref="C340:E340"/>
    <mergeCell ref="C339:E339"/>
    <mergeCell ref="C338:E338"/>
    <mergeCell ref="C438:E438"/>
    <mergeCell ref="C407:J407"/>
    <mergeCell ref="C437:E437"/>
    <mergeCell ref="C436:E436"/>
    <mergeCell ref="C435:E435"/>
    <mergeCell ref="C433:E433"/>
    <mergeCell ref="D432:E432"/>
    <mergeCell ref="C429:E429"/>
    <mergeCell ref="D431:E431"/>
    <mergeCell ref="C430:E430"/>
    <mergeCell ref="C428:E428"/>
    <mergeCell ref="C277:E277"/>
    <mergeCell ref="C331:E331"/>
    <mergeCell ref="C332:E332"/>
    <mergeCell ref="C333:E333"/>
    <mergeCell ref="D316:E316"/>
    <mergeCell ref="D317:E317"/>
    <mergeCell ref="C241:D241"/>
    <mergeCell ref="D272:E272"/>
    <mergeCell ref="D271:E271"/>
    <mergeCell ref="D265:E265"/>
    <mergeCell ref="D264:E264"/>
    <mergeCell ref="C263:E263"/>
    <mergeCell ref="C262:E262"/>
    <mergeCell ref="C267:E267"/>
    <mergeCell ref="E215:F215"/>
    <mergeCell ref="E208:F208"/>
    <mergeCell ref="E243:F243"/>
    <mergeCell ref="E244:F244"/>
    <mergeCell ref="E245:F245"/>
    <mergeCell ref="E246:F246"/>
    <mergeCell ref="E216:F216"/>
    <mergeCell ref="E237:F237"/>
    <mergeCell ref="E238:F238"/>
    <mergeCell ref="E239:F239"/>
    <mergeCell ref="E240:F240"/>
    <mergeCell ref="E241:F241"/>
    <mergeCell ref="E242:F242"/>
    <mergeCell ref="E210:F210"/>
    <mergeCell ref="E211:F211"/>
    <mergeCell ref="C186:D186"/>
    <mergeCell ref="C216:D216"/>
    <mergeCell ref="C209:D209"/>
    <mergeCell ref="C183:J183"/>
    <mergeCell ref="C227:J227"/>
    <mergeCell ref="C230:J230"/>
    <mergeCell ref="C208:D208"/>
    <mergeCell ref="C250:E250"/>
    <mergeCell ref="C238:D238"/>
    <mergeCell ref="C237:D237"/>
    <mergeCell ref="C234:E234"/>
    <mergeCell ref="C232:E232"/>
    <mergeCell ref="A221:K221"/>
    <mergeCell ref="C211:D211"/>
    <mergeCell ref="C233:E233"/>
    <mergeCell ref="E209:F209"/>
    <mergeCell ref="K194:L194"/>
    <mergeCell ref="C214:D214"/>
    <mergeCell ref="C207:D207"/>
    <mergeCell ref="C213:D213"/>
    <mergeCell ref="C212:D212"/>
    <mergeCell ref="E186:I186"/>
    <mergeCell ref="E236:F236"/>
    <mergeCell ref="E207:F207"/>
    <mergeCell ref="E555:L555"/>
    <mergeCell ref="E556:L556"/>
    <mergeCell ref="E542:L542"/>
    <mergeCell ref="E543:L543"/>
    <mergeCell ref="E544:L544"/>
    <mergeCell ref="E545:L545"/>
    <mergeCell ref="E548:L548"/>
    <mergeCell ref="E549:L549"/>
    <mergeCell ref="E550:L550"/>
    <mergeCell ref="E551:L551"/>
    <mergeCell ref="E554:L554"/>
    <mergeCell ref="E537:L537"/>
    <mergeCell ref="E538:L538"/>
    <mergeCell ref="E539:L539"/>
    <mergeCell ref="E540:L540"/>
    <mergeCell ref="E541:L541"/>
    <mergeCell ref="E524:L524"/>
    <mergeCell ref="E525:L525"/>
    <mergeCell ref="E526:L526"/>
    <mergeCell ref="C401:E401"/>
    <mergeCell ref="C408:J408"/>
    <mergeCell ref="C405:E405"/>
    <mergeCell ref="C427:E427"/>
    <mergeCell ref="C426:E426"/>
    <mergeCell ref="C425:E425"/>
    <mergeCell ref="C424:E424"/>
    <mergeCell ref="C423:E423"/>
    <mergeCell ref="C411:J411"/>
    <mergeCell ref="C447:E447"/>
    <mergeCell ref="C446:E446"/>
    <mergeCell ref="C445:E445"/>
    <mergeCell ref="C443:E443"/>
    <mergeCell ref="D442:E442"/>
    <mergeCell ref="D441:E441"/>
    <mergeCell ref="C439:E439"/>
    <mergeCell ref="C281:E281"/>
    <mergeCell ref="D287:E287"/>
    <mergeCell ref="C302:E302"/>
    <mergeCell ref="C351:E351"/>
    <mergeCell ref="C396:E396"/>
    <mergeCell ref="C395:E395"/>
    <mergeCell ref="C373:E373"/>
    <mergeCell ref="C390:E390"/>
    <mergeCell ref="C375:E375"/>
    <mergeCell ref="C334:E334"/>
    <mergeCell ref="C343:E343"/>
    <mergeCell ref="C342:E342"/>
    <mergeCell ref="C341:E341"/>
    <mergeCell ref="C355:E355"/>
    <mergeCell ref="C307:E307"/>
    <mergeCell ref="C291:E291"/>
    <mergeCell ref="C292:E292"/>
    <mergeCell ref="C293:E293"/>
    <mergeCell ref="C294:E294"/>
    <mergeCell ref="C295:E295"/>
    <mergeCell ref="D297:E297"/>
    <mergeCell ref="D298:E298"/>
    <mergeCell ref="C296:E296"/>
    <mergeCell ref="C315:E315"/>
  </mergeCells>
  <conditionalFormatting sqref="H94 H100 H106:H108 H127:H129 H137:H138 H154:H157 H167:H169 H173:H175">
    <cfRule type="expression" dxfId="47" priority="97">
      <formula>$G94&gt;0</formula>
    </cfRule>
  </conditionalFormatting>
  <conditionalFormatting sqref="H332:H404">
    <cfRule type="expression" dxfId="46" priority="1">
      <formula>OR($G$211="",$G$211=0)</formula>
    </cfRule>
  </conditionalFormatting>
  <conditionalFormatting sqref="I94">
    <cfRule type="expression" dxfId="45" priority="126">
      <formula>$F$94&gt;0</formula>
    </cfRule>
  </conditionalFormatting>
  <conditionalFormatting sqref="I100">
    <cfRule type="expression" dxfId="44" priority="124">
      <formula>$F$100&gt;0</formula>
    </cfRule>
  </conditionalFormatting>
  <conditionalFormatting sqref="I106">
    <cfRule type="expression" dxfId="43" priority="123">
      <formula>$F$106&gt;0</formula>
    </cfRule>
  </conditionalFormatting>
  <conditionalFormatting sqref="I107">
    <cfRule type="expression" dxfId="42" priority="122">
      <formula>$F$107&gt;0</formula>
    </cfRule>
  </conditionalFormatting>
  <conditionalFormatting sqref="I108">
    <cfRule type="expression" dxfId="41" priority="121">
      <formula>$F$108&gt;0</formula>
    </cfRule>
  </conditionalFormatting>
  <conditionalFormatting sqref="I127">
    <cfRule type="expression" dxfId="40" priority="120">
      <formula>$F$127&gt;0</formula>
    </cfRule>
  </conditionalFormatting>
  <conditionalFormatting sqref="I128">
    <cfRule type="expression" dxfId="39" priority="119">
      <formula>$F$128&gt;0</formula>
    </cfRule>
  </conditionalFormatting>
  <conditionalFormatting sqref="I129">
    <cfRule type="expression" dxfId="38" priority="118">
      <formula>$F$129&gt;0</formula>
    </cfRule>
  </conditionalFormatting>
  <conditionalFormatting sqref="I137">
    <cfRule type="expression" dxfId="37" priority="117">
      <formula>$F$137&gt;0</formula>
    </cfRule>
  </conditionalFormatting>
  <conditionalFormatting sqref="I138">
    <cfRule type="expression" dxfId="36" priority="116">
      <formula>$F$138&gt;0</formula>
    </cfRule>
  </conditionalFormatting>
  <conditionalFormatting sqref="I154">
    <cfRule type="expression" dxfId="35" priority="115">
      <formula>$F$154&gt;0</formula>
    </cfRule>
  </conditionalFormatting>
  <conditionalFormatting sqref="I155">
    <cfRule type="expression" dxfId="34" priority="114">
      <formula>$F$155&gt;0</formula>
    </cfRule>
  </conditionalFormatting>
  <conditionalFormatting sqref="I156">
    <cfRule type="expression" dxfId="33" priority="113">
      <formula>$F$156&gt;0</formula>
    </cfRule>
  </conditionalFormatting>
  <conditionalFormatting sqref="I157">
    <cfRule type="expression" dxfId="32" priority="112">
      <formula>$F$157&gt;0</formula>
    </cfRule>
  </conditionalFormatting>
  <conditionalFormatting sqref="I167">
    <cfRule type="expression" dxfId="31" priority="111">
      <formula>$F$167&gt;0</formula>
    </cfRule>
  </conditionalFormatting>
  <conditionalFormatting sqref="I168">
    <cfRule type="expression" dxfId="30" priority="110">
      <formula>$F$168&gt;0</formula>
    </cfRule>
  </conditionalFormatting>
  <conditionalFormatting sqref="I169">
    <cfRule type="expression" dxfId="29" priority="109">
      <formula>$F$169&gt;0</formula>
    </cfRule>
  </conditionalFormatting>
  <conditionalFormatting sqref="I173">
    <cfRule type="expression" dxfId="28" priority="108">
      <formula>$F$173&gt;0</formula>
    </cfRule>
  </conditionalFormatting>
  <conditionalFormatting sqref="I174">
    <cfRule type="expression" dxfId="27" priority="107">
      <formula>$F$174&gt;0</formula>
    </cfRule>
  </conditionalFormatting>
  <conditionalFormatting sqref="I175">
    <cfRule type="expression" dxfId="26" priority="106">
      <formula>$F$175&gt;0</formula>
    </cfRule>
  </conditionalFormatting>
  <conditionalFormatting sqref="I332:I404">
    <cfRule type="expression" dxfId="25" priority="2">
      <formula>OR($G$239="",$G$239=0)</formula>
    </cfRule>
  </conditionalFormatting>
  <conditionalFormatting sqref="I418:I419">
    <cfRule type="expression" dxfId="24" priority="56">
      <formula>$G$418="Yes"</formula>
    </cfRule>
  </conditionalFormatting>
  <conditionalFormatting sqref="J203">
    <cfRule type="expression" dxfId="23" priority="11">
      <formula>SUM($D$203:$I$203)&gt;0</formula>
    </cfRule>
  </conditionalFormatting>
  <conditionalFormatting sqref="J223">
    <cfRule type="expression" dxfId="22" priority="128">
      <formula>$E$223="Yes"</formula>
    </cfRule>
  </conditionalFormatting>
  <conditionalFormatting sqref="J332:J404">
    <cfRule type="expression" dxfId="21" priority="3">
      <formula>OR($G$240="",$G$240=0)</formula>
    </cfRule>
  </conditionalFormatting>
  <conditionalFormatting sqref="K203">
    <cfRule type="expression" dxfId="20" priority="10">
      <formula>$F$100&gt;0</formula>
    </cfRule>
  </conditionalFormatting>
  <conditionalFormatting sqref="K332:K404">
    <cfRule type="expression" dxfId="19" priority="4">
      <formula>OR($G$241=0,$G$241="""")</formula>
    </cfRule>
  </conditionalFormatting>
  <conditionalFormatting sqref="L211">
    <cfRule type="expression" dxfId="18" priority="59">
      <formula>$G$211&gt;0</formula>
    </cfRule>
  </conditionalFormatting>
  <conditionalFormatting sqref="L331:P404">
    <cfRule type="expression" dxfId="17" priority="5">
      <formula>L$331=""</formula>
    </cfRule>
  </conditionalFormatting>
  <conditionalFormatting sqref="M211:O211">
    <cfRule type="expression" dxfId="16" priority="58">
      <formula>$G$211&gt;0</formula>
    </cfRule>
  </conditionalFormatting>
  <conditionalFormatting sqref="P238">
    <cfRule type="expression" dxfId="15" priority="61">
      <formula>$G$238&gt;0</formula>
    </cfRule>
  </conditionalFormatting>
  <conditionalFormatting sqref="Q238">
    <cfRule type="expression" dxfId="14" priority="60">
      <formula>$G$238&gt;0</formula>
    </cfRule>
  </conditionalFormatting>
  <conditionalFormatting sqref="R335:R336 R345:R346 R352:R353 R378:R379 R391:R392 R402:R403">
    <cfRule type="expression" dxfId="13" priority="102">
      <formula>#REF!&gt;0</formula>
    </cfRule>
  </conditionalFormatting>
  <conditionalFormatting sqref="R367:R368">
    <cfRule type="expression" dxfId="12" priority="100">
      <formula>#REF!&gt;0</formula>
    </cfRule>
  </conditionalFormatting>
  <conditionalFormatting sqref="R397:R398">
    <cfRule type="expression" dxfId="11" priority="99">
      <formula>#REF!&gt;0</formula>
    </cfRule>
  </conditionalFormatting>
  <dataValidations count="11">
    <dataValidation type="list" allowBlank="1" showInputMessage="1" showErrorMessage="1" sqref="E82" xr:uid="{00000000-0002-0000-0400-000001000000}">
      <formula1>".05,.07"</formula1>
    </dataValidation>
    <dataValidation type="list" allowBlank="1" showInputMessage="1" showErrorMessage="1" sqref="G415:G419 E223:E224 L237:L246" xr:uid="{00000000-0002-0000-0400-000002000000}">
      <formula1>"Yes,No"</formula1>
    </dataValidation>
    <dataValidation type="whole" allowBlank="1" showErrorMessage="1" error="Enter whole numbers only." sqref="F172:F175 F160:F169 F141:F157 F132:F138 F91:F94 F103:F108 F98:F100 F115:F129" xr:uid="{00000000-0002-0000-0400-000003000000}">
      <formula1>0</formula1>
      <formula2>9.99999999999999E+44</formula2>
    </dataValidation>
    <dataValidation type="whole" allowBlank="1" showErrorMessage="1" errorTitle="Whole Numbers" error="Only enter whole numbers." sqref="F423:H501" xr:uid="{00000000-0002-0000-0400-000004000000}">
      <formula1>0</formula1>
      <formula2>9.99999999999999E+46</formula2>
    </dataValidation>
    <dataValidation type="whole" allowBlank="1" showErrorMessage="1" error="A whole number must be entered." prompt="Enter whole numbers only." sqref="J251:J329 I314:I329 I250:I312 F250:F330 G250:H329 F332:Q405" xr:uid="{00000000-0002-0000-0400-000005000000}">
      <formula1>0</formula1>
      <formula2>9.99999999999999E+44</formula2>
    </dataValidation>
    <dataValidation type="whole" allowBlank="1" showErrorMessage="1" error="A whole number must be entered." prompt="Enter whole numbers only." sqref="I313" xr:uid="{8FD51EA0-48BA-43E9-B899-697967212F39}">
      <formula1>0</formula1>
      <formula2>5000</formula2>
    </dataValidation>
    <dataValidation type="list" allowBlank="1" showInputMessage="1" showErrorMessage="1" sqref="G9:H34" xr:uid="{6DA199CD-F8D9-416A-8961-5740B6B17714}">
      <formula1>"20%,30%,40%,50%,60%,70%,80%"</formula1>
    </dataValidation>
    <dataValidation type="whole" allowBlank="1" showInputMessage="1" showErrorMessage="1" sqref="D9:D34" xr:uid="{79214001-C190-43F0-92F7-43FADFEB6512}">
      <formula1>0</formula1>
      <formula2>5</formula2>
    </dataValidation>
    <dataValidation type="list" allowBlank="1" showInputMessage="1" showErrorMessage="1" sqref="N9:N44" xr:uid="{2B6C400D-53B0-4263-A979-CB41FBD51ECA}">
      <formula1>"Section 8 PBRA, PBV, 202 PRAC, 811 PRAC, 811 PRA, ODMSD, USDA RD, HUD-VASH PBV, Other Federal, Other State, Other Local, Select Here, N/A"</formula1>
    </dataValidation>
    <dataValidation allowBlank="1" showErrorMessage="1" error="A whole number must be entered." prompt="Enter whole numbers only." sqref="F331:Q331" xr:uid="{00000000-0002-0000-0400-000006000000}"/>
    <dataValidation type="list" allowBlank="1" showInputMessage="1" showErrorMessage="1" sqref="J160" xr:uid="{9F368915-F229-420C-B256-2087978E5E0C}">
      <formula1>"Yes, No"</formula1>
    </dataValidation>
  </dataValidations>
  <pageMargins left="0.7" right="0.7" top="0.75" bottom="0.75" header="0.3" footer="0.3"/>
  <pageSetup scale="36" orientation="portrait" r:id="rId1"/>
  <ignoredErrors>
    <ignoredError sqref="I208 I210 I212:I216 I239:I246 N9:N44" unlockedFormula="1"/>
    <ignoredError sqref="G90:G96 G98:G101 G103:G109 G111 G115:G130 G132:G139 G141:G158 G160:G170 G172:G176 G178 G180 J423:K432 J435:K442 J445:K476 J479:K483 J486:K486" evalError="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R74"/>
  <sheetViews>
    <sheetView zoomScale="85" zoomScaleNormal="85" workbookViewId="0">
      <selection activeCell="E14" sqref="E14"/>
    </sheetView>
  </sheetViews>
  <sheetFormatPr defaultColWidth="9" defaultRowHeight="13.8" x14ac:dyDescent="0.25"/>
  <cols>
    <col min="1" max="1" width="9" style="5"/>
    <col min="2" max="2" width="31.69921875" style="5" bestFit="1" customWidth="1"/>
    <col min="3" max="5" width="15.5" style="5" customWidth="1"/>
    <col min="6" max="6" width="9" style="5"/>
    <col min="7" max="7" width="14.8984375" style="5" customWidth="1"/>
    <col min="8" max="8" width="23" style="5" customWidth="1"/>
    <col min="9" max="9" width="9" style="5"/>
    <col min="10" max="10" width="14" style="5" bestFit="1" customWidth="1"/>
    <col min="11" max="14" width="9" style="5"/>
    <col min="15" max="16384" width="9" style="138"/>
  </cols>
  <sheetData>
    <row r="1" spans="1:14" ht="54.9" customHeight="1" x14ac:dyDescent="0.25"/>
    <row r="2" spans="1:14" s="139" customFormat="1" ht="23.4" x14ac:dyDescent="0.4">
      <c r="A2" s="3" t="s">
        <v>1613</v>
      </c>
      <c r="B2" s="1"/>
      <c r="C2" s="1"/>
      <c r="D2" s="1"/>
      <c r="E2" s="1"/>
      <c r="F2" s="1"/>
      <c r="G2" s="1"/>
      <c r="H2" s="1"/>
      <c r="I2" s="1"/>
      <c r="J2" s="1"/>
      <c r="K2" s="1"/>
      <c r="L2" s="1"/>
      <c r="M2" s="1"/>
      <c r="N2" s="1"/>
    </row>
    <row r="3" spans="1:14" s="140" customFormat="1" ht="15" x14ac:dyDescent="0.25">
      <c r="A3" s="4" t="s">
        <v>1108</v>
      </c>
      <c r="B3" s="35">
        <f>'Project Details'!C7</f>
        <v>0</v>
      </c>
      <c r="C3" s="35"/>
      <c r="D3" s="2"/>
      <c r="E3" s="2"/>
      <c r="F3" s="2"/>
      <c r="G3" s="2"/>
      <c r="H3" s="2"/>
      <c r="I3" s="2"/>
      <c r="J3" s="2"/>
      <c r="K3" s="2"/>
      <c r="L3" s="2"/>
      <c r="M3" s="2"/>
      <c r="N3" s="2"/>
    </row>
    <row r="5" spans="1:14" s="143" customFormat="1" ht="24.9" customHeight="1" x14ac:dyDescent="0.25">
      <c r="A5" s="465" t="s">
        <v>1612</v>
      </c>
      <c r="B5" s="134"/>
      <c r="C5" s="134"/>
      <c r="D5" s="134"/>
      <c r="E5" s="134"/>
      <c r="F5" s="134"/>
      <c r="G5" s="134"/>
      <c r="H5" s="134"/>
      <c r="I5" s="134"/>
      <c r="M5" s="134"/>
      <c r="N5" s="134"/>
    </row>
    <row r="6" spans="1:14" ht="41.4" x14ac:dyDescent="0.3">
      <c r="A6" s="6"/>
      <c r="C6" s="52" t="s">
        <v>546</v>
      </c>
      <c r="D6" s="52" t="s">
        <v>547</v>
      </c>
      <c r="E6" s="52" t="s">
        <v>548</v>
      </c>
      <c r="F6" s="20"/>
      <c r="J6" s="138"/>
      <c r="K6" s="138"/>
      <c r="L6" s="138"/>
    </row>
    <row r="7" spans="1:14" ht="14.25" customHeight="1" x14ac:dyDescent="0.3">
      <c r="A7" s="6"/>
      <c r="B7" s="5" t="s">
        <v>549</v>
      </c>
      <c r="C7" s="30">
        <f>'Budget &amp; Costs'!F324</f>
        <v>0</v>
      </c>
      <c r="D7" s="30">
        <f>'Budget &amp; Costs'!G324</f>
        <v>0</v>
      </c>
      <c r="E7" s="30">
        <f>'Budget &amp; Costs'!H324</f>
        <v>0</v>
      </c>
      <c r="J7" s="138"/>
      <c r="K7" s="138"/>
      <c r="L7" s="138"/>
    </row>
    <row r="8" spans="1:14" ht="14.25" customHeight="1" x14ac:dyDescent="0.3">
      <c r="A8" s="6"/>
      <c r="B8" s="5" t="s">
        <v>553</v>
      </c>
      <c r="C8" s="30">
        <f>'Budget &amp; Costs'!F233</f>
        <v>0</v>
      </c>
      <c r="D8" s="30">
        <f>'Budget &amp; Costs'!G233</f>
        <v>0</v>
      </c>
      <c r="E8" s="30">
        <f>'Budget &amp; Costs'!H233</f>
        <v>0</v>
      </c>
      <c r="J8" s="138"/>
      <c r="K8" s="138"/>
      <c r="L8" s="138"/>
    </row>
    <row r="9" spans="1:14" ht="15" customHeight="1" x14ac:dyDescent="0.25">
      <c r="B9" s="5" t="s">
        <v>557</v>
      </c>
      <c r="C9" s="30">
        <f>'Budget &amp; Costs'!F234</f>
        <v>0</v>
      </c>
      <c r="D9" s="30">
        <f>'Budget &amp; Costs'!G234</f>
        <v>0</v>
      </c>
      <c r="E9" s="30">
        <f>'Budget &amp; Costs'!H234</f>
        <v>0</v>
      </c>
      <c r="G9" s="15" t="s">
        <v>1253</v>
      </c>
      <c r="H9" s="15" t="s">
        <v>1252</v>
      </c>
      <c r="J9" s="138"/>
      <c r="K9" s="138"/>
      <c r="L9" s="138"/>
    </row>
    <row r="10" spans="1:14" ht="14.25" customHeight="1" x14ac:dyDescent="0.25">
      <c r="B10" s="5" t="s">
        <v>558</v>
      </c>
      <c r="C10" s="408"/>
      <c r="D10" s="30">
        <f>'Budget &amp; Costs'!Q238</f>
        <v>0</v>
      </c>
      <c r="E10" s="408"/>
      <c r="G10" s="30">
        <f>'Budget &amp; Costs'!G211</f>
        <v>0</v>
      </c>
      <c r="H10" s="30">
        <f>'Budget &amp; Costs'!G238</f>
        <v>0</v>
      </c>
      <c r="J10" s="138"/>
      <c r="K10" s="138"/>
      <c r="L10" s="138"/>
    </row>
    <row r="11" spans="1:14" ht="14.25" customHeight="1" x14ac:dyDescent="0.25">
      <c r="B11" s="5" t="s">
        <v>559</v>
      </c>
      <c r="C11" s="30">
        <f>C7-(C8+C9+C10)</f>
        <v>0</v>
      </c>
      <c r="D11" s="30">
        <f>D7-(D8+D9+D10)</f>
        <v>0</v>
      </c>
      <c r="E11" s="30">
        <f>E7-(E8+E9+E10)</f>
        <v>0</v>
      </c>
      <c r="F11" s="254">
        <f>IFERROR(E11+D11+C11,0)</f>
        <v>0</v>
      </c>
      <c r="J11" s="138"/>
      <c r="K11" s="138"/>
      <c r="L11" s="138"/>
    </row>
    <row r="12" spans="1:14" ht="15.75" customHeight="1" x14ac:dyDescent="0.25">
      <c r="F12" s="98"/>
      <c r="G12" s="15" t="s">
        <v>840</v>
      </c>
      <c r="H12" s="15" t="s">
        <v>842</v>
      </c>
      <c r="J12" s="138"/>
      <c r="K12" s="138"/>
      <c r="L12" s="138"/>
    </row>
    <row r="13" spans="1:14" x14ac:dyDescent="0.25">
      <c r="B13" s="5" t="s">
        <v>940</v>
      </c>
      <c r="C13" s="409"/>
      <c r="D13" s="93">
        <v>0</v>
      </c>
      <c r="E13" s="93">
        <v>0</v>
      </c>
      <c r="F13" s="98"/>
      <c r="G13" s="16" t="str">
        <f>'Project Details'!G14</f>
        <v>Input 2020 Tract</v>
      </c>
      <c r="H13" s="16" t="str">
        <f>'Project Details'!G15</f>
        <v>Input Zip Code</v>
      </c>
      <c r="J13" s="138"/>
      <c r="K13" s="138"/>
      <c r="L13" s="138"/>
    </row>
    <row r="14" spans="1:14" x14ac:dyDescent="0.25">
      <c r="F14" s="98"/>
      <c r="J14" s="138"/>
      <c r="K14" s="138"/>
      <c r="L14" s="138"/>
    </row>
    <row r="15" spans="1:14" x14ac:dyDescent="0.25">
      <c r="B15" s="5" t="s">
        <v>1192</v>
      </c>
      <c r="C15" s="582"/>
      <c r="D15" s="28">
        <f>D11+(D11*0.3*D13)</f>
        <v>0</v>
      </c>
      <c r="E15" s="28">
        <f>E11+(E11*0.3*E13)</f>
        <v>0</v>
      </c>
      <c r="F15" s="255">
        <f>IFERROR(E15+D15+C15,0)</f>
        <v>0</v>
      </c>
      <c r="G15" s="15" t="s">
        <v>17</v>
      </c>
      <c r="H15" s="15" t="s">
        <v>18</v>
      </c>
      <c r="J15" s="138"/>
      <c r="K15" s="138"/>
      <c r="L15" s="138"/>
    </row>
    <row r="16" spans="1:14" x14ac:dyDescent="0.25">
      <c r="B16" s="5" t="s">
        <v>891</v>
      </c>
      <c r="C16" s="582"/>
      <c r="D16" s="582"/>
      <c r="E16" s="582"/>
      <c r="F16" s="255">
        <f t="shared" ref="F16:F21" si="0">IFERROR(E16+D16+C16,0)</f>
        <v>0</v>
      </c>
      <c r="G16" s="16" t="str">
        <f>'Project Details'!C15</f>
        <v>Please input 2010 Census Tract</v>
      </c>
      <c r="H16" s="16" t="str">
        <f>'Project Details'!C16</f>
        <v>Please input 2010 Census Tract</v>
      </c>
      <c r="J16" s="138"/>
      <c r="K16" s="138"/>
      <c r="L16" s="138"/>
    </row>
    <row r="17" spans="2:12" x14ac:dyDescent="0.25">
      <c r="B17" s="5" t="s">
        <v>916</v>
      </c>
      <c r="C17" s="582"/>
      <c r="D17" s="582"/>
      <c r="E17" s="582"/>
      <c r="F17" s="255">
        <f t="shared" si="0"/>
        <v>0</v>
      </c>
      <c r="J17" s="138"/>
      <c r="K17" s="138"/>
      <c r="L17" s="138"/>
    </row>
    <row r="18" spans="2:12" x14ac:dyDescent="0.25">
      <c r="B18" s="5" t="s">
        <v>1287</v>
      </c>
      <c r="C18" s="582"/>
      <c r="D18" s="582"/>
      <c r="E18" s="582"/>
      <c r="F18" s="255">
        <f t="shared" si="0"/>
        <v>0</v>
      </c>
      <c r="G18" s="719" t="s">
        <v>563</v>
      </c>
      <c r="H18" s="721"/>
      <c r="J18" s="138"/>
      <c r="K18" s="138"/>
      <c r="L18" s="138"/>
    </row>
    <row r="19" spans="2:12" x14ac:dyDescent="0.25">
      <c r="B19" s="5" t="s">
        <v>1000</v>
      </c>
      <c r="C19" s="582"/>
      <c r="D19" s="582"/>
      <c r="E19" s="582"/>
      <c r="F19" s="255">
        <f t="shared" si="0"/>
        <v>0</v>
      </c>
      <c r="G19" s="827" t="str">
        <f>'Project Details'!C21</f>
        <v>N/A</v>
      </c>
      <c r="H19" s="828"/>
    </row>
    <row r="20" spans="2:12" x14ac:dyDescent="0.25">
      <c r="B20" s="5" t="s">
        <v>1169</v>
      </c>
      <c r="C20" s="582"/>
      <c r="D20" s="582"/>
      <c r="E20" s="582"/>
      <c r="F20" s="255">
        <f t="shared" si="0"/>
        <v>0</v>
      </c>
    </row>
    <row r="21" spans="2:12" x14ac:dyDescent="0.25">
      <c r="B21" s="5" t="s">
        <v>1001</v>
      </c>
      <c r="C21" s="582"/>
      <c r="D21" s="582"/>
      <c r="E21" s="582"/>
      <c r="F21" s="255">
        <f t="shared" si="0"/>
        <v>0</v>
      </c>
      <c r="G21" s="15" t="s">
        <v>565</v>
      </c>
      <c r="H21" s="15" t="s">
        <v>1035</v>
      </c>
    </row>
    <row r="22" spans="2:12" x14ac:dyDescent="0.25">
      <c r="G22" s="17">
        <f>'Budget &amp; Costs'!I60</f>
        <v>0</v>
      </c>
      <c r="H22" s="17">
        <f>'Budget &amp; Costs'!E52</f>
        <v>0</v>
      </c>
    </row>
    <row r="23" spans="2:12" x14ac:dyDescent="0.25">
      <c r="B23" s="5" t="s">
        <v>908</v>
      </c>
      <c r="C23" s="28">
        <f>C11</f>
        <v>0</v>
      </c>
      <c r="D23" s="28">
        <f>MAX(D15:D21)</f>
        <v>0</v>
      </c>
      <c r="E23" s="28">
        <f>MAX(E15:E21)</f>
        <v>0</v>
      </c>
    </row>
    <row r="24" spans="2:12" x14ac:dyDescent="0.25">
      <c r="G24" s="719" t="s">
        <v>1387</v>
      </c>
      <c r="H24" s="721"/>
    </row>
    <row r="25" spans="2:12" x14ac:dyDescent="0.25">
      <c r="B25" s="5" t="s">
        <v>567</v>
      </c>
      <c r="C25" s="46">
        <f>IFERROR('Budget &amp; Costs'!D50/('Budget &amp; Costs'!D49-'Budget &amp; Costs'!D51),0)</f>
        <v>0</v>
      </c>
      <c r="G25" s="776" t="str">
        <f>'Project Details'!C19</f>
        <v>4% LIHTC Only</v>
      </c>
      <c r="H25" s="777"/>
    </row>
    <row r="26" spans="2:12" x14ac:dyDescent="0.25">
      <c r="B26" s="5" t="s">
        <v>568</v>
      </c>
      <c r="C26" s="46">
        <f>IFERROR('Project Details'!C230/('Project Details'!C230+'Project Details'!C229),0)</f>
        <v>0</v>
      </c>
    </row>
    <row r="27" spans="2:12" x14ac:dyDescent="0.25">
      <c r="B27" s="5" t="s">
        <v>566</v>
      </c>
      <c r="C27" s="47">
        <f>ROUND(MIN(C25:C26),4)</f>
        <v>0</v>
      </c>
    </row>
    <row r="29" spans="2:12" x14ac:dyDescent="0.25">
      <c r="B29" s="5" t="s">
        <v>907</v>
      </c>
      <c r="C29" s="28">
        <f>$C$27*C23</f>
        <v>0</v>
      </c>
      <c r="D29" s="28">
        <f>$C$27*D23</f>
        <v>0</v>
      </c>
      <c r="E29" s="28">
        <f>$C$27*E23</f>
        <v>0</v>
      </c>
    </row>
    <row r="31" spans="2:12" x14ac:dyDescent="0.25">
      <c r="B31" s="5" t="s">
        <v>570</v>
      </c>
      <c r="C31" s="579">
        <v>0.04</v>
      </c>
      <c r="D31" s="47">
        <v>0.04</v>
      </c>
      <c r="E31" s="47">
        <v>0.04</v>
      </c>
    </row>
    <row r="33" spans="1:14" x14ac:dyDescent="0.25">
      <c r="B33" s="5" t="s">
        <v>1614</v>
      </c>
      <c r="C33" s="30">
        <f>C29*C31</f>
        <v>0</v>
      </c>
      <c r="D33" s="30">
        <f>D29*D31</f>
        <v>0</v>
      </c>
      <c r="E33" s="30">
        <f>E29*E31</f>
        <v>0</v>
      </c>
    </row>
    <row r="35" spans="1:14" x14ac:dyDescent="0.25">
      <c r="B35" s="5" t="s">
        <v>1615</v>
      </c>
      <c r="C35" s="495">
        <f>'Project Details'!G41</f>
        <v>0</v>
      </c>
      <c r="D35" s="495">
        <f>'Project Details'!G42</f>
        <v>0</v>
      </c>
      <c r="E35" s="495">
        <f>'Project Details'!G43</f>
        <v>0</v>
      </c>
    </row>
    <row r="37" spans="1:14" x14ac:dyDescent="0.25">
      <c r="B37" s="5" t="s">
        <v>1616</v>
      </c>
      <c r="C37" s="146">
        <v>0</v>
      </c>
      <c r="D37" s="146">
        <v>0</v>
      </c>
      <c r="E37" s="146">
        <v>0</v>
      </c>
    </row>
    <row r="39" spans="1:14" x14ac:dyDescent="0.25">
      <c r="B39" s="5" t="s">
        <v>1617</v>
      </c>
      <c r="C39" s="30">
        <f>C33-C35-C37</f>
        <v>0</v>
      </c>
      <c r="D39" s="30">
        <f>D33-D35-D37</f>
        <v>0</v>
      </c>
      <c r="E39" s="30">
        <f>E33-E35-E37</f>
        <v>0</v>
      </c>
      <c r="H39" s="138"/>
      <c r="I39" s="138"/>
      <c r="J39" s="138"/>
      <c r="K39" s="138"/>
      <c r="L39" s="138"/>
      <c r="M39" s="138"/>
      <c r="N39" s="138"/>
    </row>
    <row r="40" spans="1:14" x14ac:dyDescent="0.25">
      <c r="H40" s="138"/>
      <c r="I40" s="138"/>
      <c r="J40" s="138"/>
      <c r="K40" s="138"/>
      <c r="L40" s="138"/>
      <c r="M40" s="138"/>
      <c r="N40" s="138"/>
    </row>
    <row r="41" spans="1:14" x14ac:dyDescent="0.25">
      <c r="B41" s="5" t="s">
        <v>1618</v>
      </c>
      <c r="C41" s="30">
        <f>SUM(C39:E39)</f>
        <v>0</v>
      </c>
      <c r="G41" s="138"/>
      <c r="H41" s="138"/>
      <c r="I41" s="138"/>
      <c r="J41" s="138"/>
      <c r="K41" s="138"/>
      <c r="L41" s="138"/>
      <c r="M41" s="138"/>
      <c r="N41" s="138"/>
    </row>
    <row r="42" spans="1:14" x14ac:dyDescent="0.25">
      <c r="G42" s="138"/>
      <c r="H42" s="138"/>
      <c r="I42" s="138"/>
      <c r="J42" s="138"/>
      <c r="K42" s="138"/>
      <c r="L42" s="138"/>
      <c r="M42" s="138"/>
      <c r="N42" s="138"/>
    </row>
    <row r="43" spans="1:14" x14ac:dyDescent="0.25">
      <c r="B43" s="5" t="s">
        <v>1619</v>
      </c>
      <c r="C43" s="593">
        <f>C41</f>
        <v>0</v>
      </c>
      <c r="D43" s="474" t="s">
        <v>1550</v>
      </c>
      <c r="H43" s="138"/>
      <c r="I43" s="138"/>
      <c r="J43" s="138"/>
      <c r="K43" s="138"/>
      <c r="L43" s="138"/>
      <c r="M43" s="138"/>
      <c r="N43" s="138"/>
    </row>
    <row r="44" spans="1:14" x14ac:dyDescent="0.25">
      <c r="H44" s="138"/>
      <c r="I44" s="138"/>
      <c r="J44" s="138"/>
      <c r="K44" s="138"/>
      <c r="L44" s="138"/>
      <c r="M44" s="138"/>
      <c r="N44" s="138"/>
    </row>
    <row r="45" spans="1:14" x14ac:dyDescent="0.25">
      <c r="B45" s="5" t="s">
        <v>1620</v>
      </c>
      <c r="C45" s="30">
        <f>C43*10</f>
        <v>0</v>
      </c>
      <c r="H45" s="138"/>
      <c r="I45" s="138"/>
      <c r="J45" s="138"/>
      <c r="K45" s="138"/>
      <c r="L45" s="138"/>
      <c r="M45" s="138"/>
      <c r="N45" s="138"/>
    </row>
    <row r="47" spans="1:14" s="143" customFormat="1" ht="24.9" customHeight="1" x14ac:dyDescent="0.25">
      <c r="A47" s="465" t="s">
        <v>1621</v>
      </c>
      <c r="B47" s="134"/>
      <c r="C47" s="134"/>
      <c r="D47" s="134"/>
      <c r="E47" s="134"/>
      <c r="F47" s="134"/>
      <c r="G47" s="134"/>
      <c r="H47" s="134"/>
      <c r="I47" s="134"/>
      <c r="J47" s="134"/>
      <c r="K47" s="134"/>
      <c r="L47" s="134"/>
      <c r="M47" s="134"/>
      <c r="N47" s="134"/>
    </row>
    <row r="48" spans="1:14" x14ac:dyDescent="0.25">
      <c r="B48" s="5" t="s">
        <v>1622</v>
      </c>
      <c r="C48" s="146"/>
    </row>
    <row r="49" spans="1:14" x14ac:dyDescent="0.25">
      <c r="B49" s="5" t="s">
        <v>574</v>
      </c>
      <c r="C49" s="146"/>
    </row>
    <row r="50" spans="1:14" x14ac:dyDescent="0.25">
      <c r="B50" s="5" t="s">
        <v>577</v>
      </c>
      <c r="C50" s="146"/>
    </row>
    <row r="51" spans="1:14" x14ac:dyDescent="0.25">
      <c r="B51" s="5" t="s">
        <v>575</v>
      </c>
      <c r="C51" s="146"/>
    </row>
    <row r="52" spans="1:14" x14ac:dyDescent="0.25">
      <c r="B52" s="5" t="s">
        <v>576</v>
      </c>
      <c r="C52" s="146"/>
    </row>
    <row r="53" spans="1:14" x14ac:dyDescent="0.25">
      <c r="C53" s="41"/>
    </row>
    <row r="54" spans="1:14" x14ac:dyDescent="0.25">
      <c r="B54" s="5" t="s">
        <v>1623</v>
      </c>
      <c r="C54" s="28">
        <f>C48-C49-C50-C51-C52</f>
        <v>0</v>
      </c>
      <c r="D54" s="8" t="s">
        <v>579</v>
      </c>
    </row>
    <row r="56" spans="1:14" x14ac:dyDescent="0.25">
      <c r="B56" s="5" t="s">
        <v>1624</v>
      </c>
      <c r="C56" s="96">
        <f>IFERROR(Cashflow!B20,0)</f>
        <v>0</v>
      </c>
    </row>
    <row r="58" spans="1:14" s="143" customFormat="1" ht="24.9" customHeight="1" x14ac:dyDescent="0.25">
      <c r="A58" s="465" t="s">
        <v>1625</v>
      </c>
      <c r="B58" s="134"/>
      <c r="C58" s="134"/>
      <c r="D58" s="134"/>
      <c r="E58" s="134"/>
      <c r="F58" s="134"/>
      <c r="G58" s="134"/>
      <c r="H58" s="134"/>
      <c r="I58" s="134"/>
      <c r="J58" s="134"/>
      <c r="K58" s="134"/>
      <c r="L58" s="134"/>
      <c r="M58" s="134"/>
      <c r="N58" s="134"/>
    </row>
    <row r="59" spans="1:14" x14ac:dyDescent="0.25">
      <c r="B59" s="5" t="s">
        <v>1626</v>
      </c>
      <c r="D59" s="475">
        <f>SUM('Budget &amp; Costs'!D69+'Budget &amp; Costs'!D70)</f>
        <v>0</v>
      </c>
    </row>
    <row r="60" spans="1:14" x14ac:dyDescent="0.25">
      <c r="B60" s="5" t="s">
        <v>1627</v>
      </c>
      <c r="D60" s="228">
        <f>SUM('Budget &amp; Costs'!D67+'Budget &amp; Costs'!D68+'Budget &amp; Costs'!D69+'Budget &amp; Costs'!D70)</f>
        <v>0</v>
      </c>
    </row>
    <row r="61" spans="1:14" x14ac:dyDescent="0.25">
      <c r="B61" s="5" t="s">
        <v>1628</v>
      </c>
      <c r="D61" s="228">
        <f>SUM('Budget &amp; Costs'!D66+'Budget &amp; Costs'!D67+'Budget &amp; Costs'!D68+'Budget &amp; Costs'!D69+'Budget &amp; Costs'!D70)</f>
        <v>0</v>
      </c>
    </row>
    <row r="62" spans="1:14" x14ac:dyDescent="0.25">
      <c r="B62" s="5" t="s">
        <v>1629</v>
      </c>
      <c r="D62" s="228">
        <f>SUM('Budget &amp; Costs'!D64+'Budget &amp; Costs'!D65+'Budget &amp; Costs'!D66+'Budget &amp; Costs'!D67+'Budget &amp; Costs'!D68+'Budget &amp; Costs'!D69+'Budget &amp; Costs'!D70)</f>
        <v>0</v>
      </c>
      <c r="E62" s="491" t="s">
        <v>1541</v>
      </c>
    </row>
    <row r="64" spans="1:14" x14ac:dyDescent="0.25">
      <c r="B64" s="5" t="s">
        <v>1630</v>
      </c>
      <c r="E64" s="227">
        <f>SUM('Budget &amp; Costs'!D78:D79)</f>
        <v>0</v>
      </c>
    </row>
    <row r="65" spans="2:18" x14ac:dyDescent="0.25">
      <c r="B65" s="5" t="s">
        <v>1631</v>
      </c>
      <c r="E65" s="227">
        <f>SUM('Budget &amp; Costs'!D76:D79)</f>
        <v>0</v>
      </c>
    </row>
    <row r="66" spans="2:18" x14ac:dyDescent="0.25">
      <c r="B66" s="5" t="s">
        <v>1632</v>
      </c>
      <c r="E66" s="227">
        <f>SUM('Budget &amp; Costs'!D75:D79)</f>
        <v>0</v>
      </c>
    </row>
    <row r="67" spans="2:18" x14ac:dyDescent="0.25">
      <c r="B67" s="5" t="s">
        <v>1633</v>
      </c>
      <c r="E67" s="227">
        <f>SUM('Budget &amp; Costs'!D73:D79)</f>
        <v>0</v>
      </c>
      <c r="F67" s="491" t="s">
        <v>1541</v>
      </c>
    </row>
    <row r="69" spans="2:18" x14ac:dyDescent="0.25">
      <c r="B69" s="5" t="s">
        <v>1037</v>
      </c>
      <c r="C69" s="829"/>
      <c r="D69" s="829"/>
      <c r="E69" s="829"/>
      <c r="F69" s="829"/>
      <c r="G69" s="829"/>
      <c r="H69" s="829"/>
      <c r="I69" s="829"/>
      <c r="J69" s="77" t="str">
        <f>IFERROR(IF(AND('Budget &amp; Costs'!D52&gt;0,C69="Income Averaging *NEW*"),"WARNING: Income Averaging Mixed with Market Rate Units",""),"")</f>
        <v/>
      </c>
    </row>
    <row r="71" spans="2:18" x14ac:dyDescent="0.25">
      <c r="B71" s="5" t="s">
        <v>1170</v>
      </c>
      <c r="E71" s="824"/>
      <c r="F71" s="825"/>
      <c r="G71" s="825"/>
      <c r="H71" s="825"/>
      <c r="I71" s="826"/>
      <c r="J71" s="77" t="str">
        <f>IF(AND(C69="Income Averaging *NEW*",E71="Separate Projects"),"Exception Required","")</f>
        <v/>
      </c>
    </row>
    <row r="73" spans="2:18" ht="18" customHeight="1" x14ac:dyDescent="0.25">
      <c r="B73" s="821" t="s">
        <v>1171</v>
      </c>
      <c r="C73" s="822"/>
      <c r="D73" s="822"/>
      <c r="E73" s="822"/>
      <c r="F73" s="822"/>
      <c r="G73" s="822"/>
      <c r="H73" s="822"/>
      <c r="I73" s="823"/>
      <c r="K73" s="19"/>
      <c r="L73" s="19"/>
      <c r="O73" s="5"/>
      <c r="P73" s="5"/>
      <c r="Q73" s="5"/>
      <c r="R73" s="5"/>
    </row>
    <row r="74" spans="2:18" ht="99.9" customHeight="1" x14ac:dyDescent="0.25">
      <c r="B74" s="748"/>
      <c r="C74" s="749"/>
      <c r="D74" s="749"/>
      <c r="E74" s="749"/>
      <c r="F74" s="749"/>
      <c r="G74" s="749"/>
      <c r="H74" s="749"/>
      <c r="I74" s="750"/>
      <c r="O74" s="5"/>
      <c r="P74" s="5"/>
      <c r="Q74" s="5"/>
      <c r="R74" s="5"/>
    </row>
  </sheetData>
  <sheetProtection algorithmName="SHA-512" hashValue="3Lb1Zi2rDX8ELXH2p7sz9pJofiE+N3e970KAg9mlbaFyt/5YXlbOfIkilAxsy2uZYrXsGlC6cVqesZ6bnfy+zg==" saltValue="HG9ILPFM9qoJcFBF1Jt4mQ==" spinCount="100000" sheet="1" objects="1" scenarios="1"/>
  <mergeCells count="8">
    <mergeCell ref="B73:I73"/>
    <mergeCell ref="B74:I74"/>
    <mergeCell ref="E71:I71"/>
    <mergeCell ref="G19:H19"/>
    <mergeCell ref="G18:H18"/>
    <mergeCell ref="G25:H25"/>
    <mergeCell ref="G24:H24"/>
    <mergeCell ref="C69:I69"/>
  </mergeCells>
  <dataValidations count="2">
    <dataValidation type="list" allowBlank="1" showInputMessage="1" showErrorMessage="1" sqref="E71:I71" xr:uid="{00000000-0002-0000-0500-000000000000}">
      <formula1>"N/A-not using AI,Separate Projects,Multi-Building,N/A - Only One Building"</formula1>
    </dataValidation>
    <dataValidation type="list" allowBlank="1" showInputMessage="1" showErrorMessage="1" sqref="C69:I69" xr:uid="{00000000-0002-0000-0500-000001000000}">
      <formula1>"40-60,20-50,Average Income"</formula1>
    </dataValidation>
  </dataValidations>
  <pageMargins left="0.7" right="0.7" top="0.75" bottom="0.75" header="0.3" footer="0.3"/>
  <pageSetup scale="42" orientation="portrait" r:id="rId1"/>
  <colBreaks count="1" manualBreakCount="1">
    <brk id="14" max="1048575" man="1"/>
  </colBreaks>
  <ignoredErrors>
    <ignoredError sqref="C35:E35" unlockedFormula="1"/>
    <ignoredError sqref="G22:H22 D23:E23 C27 C29:E29 C33:E33 C39:E39 C41" evalError="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8BB9A2E7-C8B0-4D2E-AA75-00152D6B55A3}">
            <xm:f>IF('Project Details'!C19="9% Competitive",C43&gt;C41)</xm:f>
            <x14:dxf>
              <font>
                <b/>
                <i val="0"/>
                <strike val="0"/>
                <color rgb="FFFF0000"/>
              </font>
            </x14:dxf>
          </x14:cfRule>
          <xm:sqref>D43</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sheetPr>
  <dimension ref="A1:AF158"/>
  <sheetViews>
    <sheetView showGridLines="0" zoomScale="85" zoomScaleNormal="85" workbookViewId="0">
      <selection activeCell="H18" sqref="H18"/>
    </sheetView>
  </sheetViews>
  <sheetFormatPr defaultColWidth="9" defaultRowHeight="13.8" x14ac:dyDescent="0.25"/>
  <cols>
    <col min="1" max="1" width="9" style="5"/>
    <col min="2" max="2" width="28.8984375" style="5" customWidth="1"/>
    <col min="3" max="3" width="23.69921875" style="5" customWidth="1"/>
    <col min="4" max="4" width="15.09765625" style="5" customWidth="1"/>
    <col min="5" max="5" width="16.19921875" style="5" customWidth="1"/>
    <col min="6" max="6" width="14" style="5" customWidth="1"/>
    <col min="7" max="7" width="14.59765625" style="5" customWidth="1"/>
    <col min="8" max="8" width="20.59765625" style="5" customWidth="1"/>
    <col min="9" max="9" width="15.09765625" style="5" bestFit="1" customWidth="1"/>
    <col min="10" max="10" width="20.19921875" style="5" customWidth="1"/>
    <col min="11" max="11" width="21.09765625" style="5" customWidth="1"/>
    <col min="12" max="12" width="17.09765625" style="5" customWidth="1"/>
    <col min="13" max="32" width="13" style="5" customWidth="1"/>
    <col min="33" max="33" width="12.3984375" style="138" bestFit="1" customWidth="1"/>
    <col min="34" max="16384" width="9" style="138"/>
  </cols>
  <sheetData>
    <row r="1" spans="1:32" ht="54.9" customHeight="1" x14ac:dyDescent="0.25"/>
    <row r="2" spans="1:32" s="139" customFormat="1" ht="23.4" x14ac:dyDescent="0.4">
      <c r="A2" s="3" t="s">
        <v>4</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s="140" customFormat="1" ht="15" x14ac:dyDescent="0.25">
      <c r="A3" s="4" t="s">
        <v>1108</v>
      </c>
      <c r="B3" s="35">
        <f>'Project Details'!C7</f>
        <v>0</v>
      </c>
      <c r="C3" s="35"/>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ht="15.6" x14ac:dyDescent="0.3">
      <c r="A4" s="425" t="s">
        <v>911</v>
      </c>
    </row>
    <row r="5" spans="1:32" s="143" customFormat="1" ht="24.9" customHeight="1" x14ac:dyDescent="0.25">
      <c r="A5" s="465" t="s">
        <v>685</v>
      </c>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row>
    <row r="6" spans="1:32" ht="14.25" customHeight="1" x14ac:dyDescent="0.25">
      <c r="B6" s="48" t="s">
        <v>563</v>
      </c>
      <c r="C6" s="703" t="str">
        <f>'Project Details'!C21</f>
        <v>N/A</v>
      </c>
      <c r="D6" s="704"/>
      <c r="E6" s="705"/>
    </row>
    <row r="7" spans="1:32" ht="14.25" customHeight="1" x14ac:dyDescent="0.25">
      <c r="B7" s="48" t="s">
        <v>646</v>
      </c>
      <c r="C7" s="833">
        <f>'Project Details'!C30</f>
        <v>0</v>
      </c>
      <c r="D7" s="833"/>
    </row>
    <row r="8" spans="1:32" ht="14.25" customHeight="1" x14ac:dyDescent="0.25">
      <c r="B8" s="48" t="s">
        <v>157</v>
      </c>
      <c r="C8" s="295">
        <f>'Project Details'!C26</f>
        <v>0</v>
      </c>
    </row>
    <row r="9" spans="1:32" ht="14.25" customHeight="1" x14ac:dyDescent="0.25">
      <c r="B9" s="48" t="s">
        <v>186</v>
      </c>
      <c r="C9" s="294">
        <f>'Project Details'!C29</f>
        <v>0</v>
      </c>
    </row>
    <row r="10" spans="1:32" ht="14.25" customHeight="1" x14ac:dyDescent="0.25"/>
    <row r="11" spans="1:32" s="143" customFormat="1" ht="24.9" customHeight="1" x14ac:dyDescent="0.25">
      <c r="A11" s="465" t="s">
        <v>1634</v>
      </c>
      <c r="B11" s="134"/>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row>
    <row r="12" spans="1:32" ht="15" customHeight="1" x14ac:dyDescent="0.25">
      <c r="B12" s="15" t="s">
        <v>618</v>
      </c>
      <c r="C12" s="15" t="s">
        <v>619</v>
      </c>
      <c r="D12" s="15" t="s">
        <v>620</v>
      </c>
      <c r="E12" s="15" t="s">
        <v>153</v>
      </c>
    </row>
    <row r="13" spans="1:32" ht="15" customHeight="1" x14ac:dyDescent="0.25">
      <c r="B13" s="30">
        <f>LIHTCs!C39</f>
        <v>0</v>
      </c>
      <c r="C13" s="30">
        <f>LIHTCs!D39</f>
        <v>0</v>
      </c>
      <c r="D13" s="30">
        <f>LIHTCs!E39</f>
        <v>0</v>
      </c>
      <c r="E13" s="30">
        <f>LIHTCs!C41</f>
        <v>0</v>
      </c>
    </row>
    <row r="14" spans="1:32" ht="24.75" customHeight="1" x14ac:dyDescent="0.25"/>
    <row r="15" spans="1:32" x14ac:dyDescent="0.25">
      <c r="C15" s="15" t="s">
        <v>629</v>
      </c>
      <c r="D15" s="15" t="s">
        <v>630</v>
      </c>
      <c r="E15" s="15" t="s">
        <v>631</v>
      </c>
    </row>
    <row r="16" spans="1:32" x14ac:dyDescent="0.25">
      <c r="B16" s="15" t="s">
        <v>621</v>
      </c>
      <c r="C16" s="30">
        <f>E13*10</f>
        <v>0</v>
      </c>
      <c r="D16" s="30">
        <f>C16*E16</f>
        <v>0</v>
      </c>
      <c r="E16" s="159">
        <f>'Development Team'!D43</f>
        <v>1</v>
      </c>
    </row>
    <row r="17" spans="1:32" x14ac:dyDescent="0.25">
      <c r="B17" s="15" t="s">
        <v>628</v>
      </c>
      <c r="C17" s="30">
        <f>LIHTCs!C45</f>
        <v>0</v>
      </c>
      <c r="D17" s="30">
        <f>C17*E17</f>
        <v>0</v>
      </c>
      <c r="E17" s="47">
        <f>'Development Team'!D43</f>
        <v>1</v>
      </c>
    </row>
    <row r="18" spans="1:32" ht="27" customHeight="1" x14ac:dyDescent="0.25"/>
    <row r="19" spans="1:32" x14ac:dyDescent="0.25">
      <c r="B19" s="15" t="s">
        <v>626</v>
      </c>
      <c r="C19" s="15" t="s">
        <v>627</v>
      </c>
    </row>
    <row r="20" spans="1:32" x14ac:dyDescent="0.25">
      <c r="B20" s="160" t="e">
        <f>C20/D17</f>
        <v>#DIV/0!</v>
      </c>
      <c r="C20" s="30">
        <f>'Budget &amp; Costs'!G237</f>
        <v>0</v>
      </c>
    </row>
    <row r="22" spans="1:32" s="143" customFormat="1" ht="24.9" customHeight="1" x14ac:dyDescent="0.25">
      <c r="A22" s="465" t="s">
        <v>1421</v>
      </c>
      <c r="B22" s="134"/>
      <c r="C22" s="134"/>
      <c r="D22" s="134"/>
      <c r="E22" s="134"/>
      <c r="F22" s="134"/>
      <c r="G22" s="134"/>
      <c r="H22" s="465"/>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row>
    <row r="23" spans="1:32" x14ac:dyDescent="0.25">
      <c r="B23" s="15" t="s">
        <v>343</v>
      </c>
      <c r="C23" s="15" t="s">
        <v>344</v>
      </c>
      <c r="D23" s="15" t="s">
        <v>348</v>
      </c>
      <c r="E23" s="15" t="s">
        <v>350</v>
      </c>
      <c r="F23" s="15" t="s">
        <v>622</v>
      </c>
      <c r="G23" s="15" t="s">
        <v>623</v>
      </c>
      <c r="I23" s="34" t="s">
        <v>625</v>
      </c>
      <c r="J23" s="161">
        <f>'Budget &amp; Costs'!Q405</f>
        <v>0</v>
      </c>
      <c r="K23" s="34" t="str">
        <f>C27</f>
        <v>N/A</v>
      </c>
      <c r="L23" s="162">
        <f>IFERROR(IF(D27="",0,IF(D27&gt;0,-PMT(($E27/12),($F27*12),$D27)*12,0)),0)</f>
        <v>0</v>
      </c>
      <c r="M23" s="5" t="s">
        <v>902</v>
      </c>
    </row>
    <row r="24" spans="1:32" x14ac:dyDescent="0.25">
      <c r="B24" s="163" t="str">
        <f>'Budget &amp; Costs'!C237</f>
        <v>LIHTC Equity</v>
      </c>
      <c r="C24" s="164" t="str">
        <f>IF('Budget &amp; Costs'!E237="","N/A",'Budget &amp; Costs'!E237)</f>
        <v>N/A</v>
      </c>
      <c r="D24" s="161">
        <f>'Budget &amp; Costs'!G237</f>
        <v>0</v>
      </c>
      <c r="E24" s="165">
        <f>IF('Budget &amp; Costs'!H237="",0.00000000001,'Budget &amp; Costs'!H237)</f>
        <v>9.9999999999999994E-12</v>
      </c>
      <c r="F24" s="164" t="str">
        <f>IF(OR('Budget &amp; Costs'!K237="",'Budget &amp; Costs'!K237=0),"",'Budget &amp; Costs'!K237)</f>
        <v/>
      </c>
      <c r="G24" s="166">
        <f t="shared" ref="G24:G29" si="0">IF(D24="",0,IF(D24&gt;0,(D24/$D$34),0))</f>
        <v>0</v>
      </c>
      <c r="I24" s="34" t="s">
        <v>623</v>
      </c>
      <c r="J24" s="166" t="e">
        <f>J23/D34</f>
        <v>#DIV/0!</v>
      </c>
      <c r="K24" s="34" t="str">
        <f>C28</f>
        <v>N/A</v>
      </c>
      <c r="L24" s="162">
        <f>IFERROR(IF(D28="",0,IF(D28&gt;0,-PMT(($E28/12),($F28*12),$D28)*12,0)),0)</f>
        <v>0</v>
      </c>
      <c r="M24" s="5" t="s">
        <v>903</v>
      </c>
    </row>
    <row r="25" spans="1:32" x14ac:dyDescent="0.25">
      <c r="B25" s="163" t="str">
        <f>'Budget &amp; Costs'!C238</f>
        <v>Federal Historic Tax Credit Equity</v>
      </c>
      <c r="C25" s="164" t="str">
        <f>IF('Budget &amp; Costs'!E238="","N/A",'Budget &amp; Costs'!E238)</f>
        <v>N/A</v>
      </c>
      <c r="D25" s="161">
        <f>'Budget &amp; Costs'!G238</f>
        <v>0</v>
      </c>
      <c r="E25" s="165">
        <f>IF('Budget &amp; Costs'!H238="",0.00000000001,'Budget &amp; Costs'!H238)</f>
        <v>9.9999999999999994E-12</v>
      </c>
      <c r="F25" s="164" t="str">
        <f>IF(OR('Budget &amp; Costs'!K238="",'Budget &amp; Costs'!K238=0),"",'Budget &amp; Costs'!K238)</f>
        <v/>
      </c>
      <c r="G25" s="166">
        <f t="shared" si="0"/>
        <v>0</v>
      </c>
      <c r="I25" s="34" t="s">
        <v>637</v>
      </c>
      <c r="J25" s="166">
        <v>0.02</v>
      </c>
      <c r="K25" s="34" t="str">
        <f>B26</f>
        <v>Deferred Developer Fee</v>
      </c>
      <c r="L25" s="162">
        <f>IFERROR(IF(D26="",0,IF(D26&gt;0,-PMT(($E26/12),($F26*12),$D26)*12,0)),0)</f>
        <v>0</v>
      </c>
    </row>
    <row r="26" spans="1:32" x14ac:dyDescent="0.25">
      <c r="B26" s="163" t="str">
        <f>'Budget &amp; Costs'!C239</f>
        <v>Deferred Developer Fee</v>
      </c>
      <c r="C26" s="164" t="str">
        <f>IF('Budget &amp; Costs'!E239="","N/A",'Budget &amp; Costs'!E239)</f>
        <v>N/A</v>
      </c>
      <c r="D26" s="161">
        <f>'Budget &amp; Costs'!G239</f>
        <v>0</v>
      </c>
      <c r="E26" s="165">
        <f>IF('Budget &amp; Costs'!H239="",0.00000000001,'Budget &amp; Costs'!H239)</f>
        <v>0</v>
      </c>
      <c r="F26" s="164" t="str">
        <f>IF(OR('Budget &amp; Costs'!K239="",'Budget &amp; Costs'!K239=0),"",'Budget &amp; Costs'!K239)</f>
        <v/>
      </c>
      <c r="G26" s="166">
        <f t="shared" si="0"/>
        <v>0</v>
      </c>
      <c r="I26" s="34" t="s">
        <v>638</v>
      </c>
      <c r="J26" s="166">
        <v>0.03</v>
      </c>
      <c r="K26" s="34" t="str">
        <f>C29</f>
        <v>N/A</v>
      </c>
      <c r="L26" s="162">
        <f>IFERROR(IF(D29="",0,IF(D29&gt;0,-PMT(($E29/12),($F29*12),$D29)*12,0)),0)</f>
        <v>0</v>
      </c>
      <c r="M26" s="5" t="s">
        <v>319</v>
      </c>
    </row>
    <row r="27" spans="1:32" x14ac:dyDescent="0.25">
      <c r="B27" s="163" t="str">
        <f>'Budget &amp; Costs'!C240</f>
        <v>Permanent First Loan, Hard Debt</v>
      </c>
      <c r="C27" s="164" t="str">
        <f>IF('Budget &amp; Costs'!E240="","N/A",'Budget &amp; Costs'!E240)</f>
        <v>N/A</v>
      </c>
      <c r="D27" s="161">
        <f>'Budget &amp; Costs'!G240</f>
        <v>0</v>
      </c>
      <c r="E27" s="165">
        <f>IF('Budget &amp; Costs'!H240="",0.00000000001,'Budget &amp; Costs'!H240)</f>
        <v>0</v>
      </c>
      <c r="F27" s="164" t="str">
        <f>IF(OR('Budget &amp; Costs'!K240="",'Budget &amp; Costs'!K240=0),"",'Budget &amp; Costs'!K240)</f>
        <v/>
      </c>
      <c r="G27" s="166">
        <f t="shared" si="0"/>
        <v>0</v>
      </c>
      <c r="I27" s="34" t="s">
        <v>639</v>
      </c>
      <c r="J27" s="166">
        <f>'Budget &amp; Costs'!E82</f>
        <v>7.0000000000000007E-2</v>
      </c>
      <c r="K27" s="34" t="str">
        <f>C30</f>
        <v>N/A</v>
      </c>
      <c r="L27" s="162">
        <f>IFERROR(IF(D30="",0,IF(D30&gt;0,-PMT(($E30/12),($F30*12),$D30)*12,0)),0)</f>
        <v>0</v>
      </c>
      <c r="M27" s="5" t="s">
        <v>320</v>
      </c>
    </row>
    <row r="28" spans="1:32" x14ac:dyDescent="0.25">
      <c r="B28" s="163" t="str">
        <f>'Budget &amp; Costs'!C241</f>
        <v>Permanent Second Loan</v>
      </c>
      <c r="C28" s="164" t="str">
        <f>IF('Budget &amp; Costs'!E241="","N/A",'Budget &amp; Costs'!E241)</f>
        <v>N/A</v>
      </c>
      <c r="D28" s="161">
        <f>'Budget &amp; Costs'!G241</f>
        <v>0</v>
      </c>
      <c r="E28" s="165">
        <f>IF('Budget &amp; Costs'!H241="",0.00000000001,'Budget &amp; Costs'!H241)</f>
        <v>0</v>
      </c>
      <c r="F28" s="164" t="str">
        <f>IF(OR('Budget &amp; Costs'!K241="",'Budget &amp; Costs'!K241=0),"",'Budget &amp; Costs'!K241)</f>
        <v/>
      </c>
      <c r="G28" s="166">
        <f t="shared" si="0"/>
        <v>0</v>
      </c>
      <c r="K28" s="34" t="str">
        <f>C31</f>
        <v>N/A</v>
      </c>
      <c r="L28" s="162">
        <f>IFERROR(IF(D31="",0,IF(D31&gt;0,-PMT(($E31/12),($F31*12),$D31)*12,0)),0)</f>
        <v>0</v>
      </c>
      <c r="M28" s="5" t="s">
        <v>322</v>
      </c>
    </row>
    <row r="29" spans="1:32" x14ac:dyDescent="0.25">
      <c r="B29" s="163" t="str">
        <f>'Budget &amp; Costs'!C242</f>
        <v>Other 1</v>
      </c>
      <c r="C29" s="164" t="str">
        <f>IF('Budget &amp; Costs'!E242="","N/A",'Budget &amp; Costs'!E242)</f>
        <v>N/A</v>
      </c>
      <c r="D29" s="161">
        <f>'Budget &amp; Costs'!G242</f>
        <v>0</v>
      </c>
      <c r="E29" s="165">
        <f>IF('Budget &amp; Costs'!H242="",0.00000000001,'Budget &amp; Costs'!H242)</f>
        <v>0</v>
      </c>
      <c r="F29" s="164" t="str">
        <f>IF(OR('Budget &amp; Costs'!K242="",'Budget &amp; Costs'!K242=0),"",'Budget &amp; Costs'!K242)</f>
        <v/>
      </c>
      <c r="G29" s="166">
        <f t="shared" si="0"/>
        <v>0</v>
      </c>
      <c r="I29" s="34" t="s">
        <v>644</v>
      </c>
      <c r="J29" s="400">
        <f>'Budget &amp; Costs'!F178</f>
        <v>0</v>
      </c>
      <c r="K29" s="34" t="str">
        <f>C32</f>
        <v>N/A</v>
      </c>
      <c r="L29" s="162">
        <f>IFERROR(IF(D32="",0,IF(D32&gt;0,-PMT(($E32/12),($F32*12),$D32)*12,0)),0)</f>
        <v>0</v>
      </c>
      <c r="M29" s="5" t="s">
        <v>555</v>
      </c>
    </row>
    <row r="30" spans="1:32" x14ac:dyDescent="0.25">
      <c r="B30" s="163" t="str">
        <f>'Budget &amp; Costs'!C243</f>
        <v>Other 2</v>
      </c>
      <c r="C30" s="164" t="str">
        <f>IF('Budget &amp; Costs'!E243="","N/A",'Budget &amp; Costs'!E243)</f>
        <v>N/A</v>
      </c>
      <c r="D30" s="161">
        <f>'Budget &amp; Costs'!G243</f>
        <v>0</v>
      </c>
      <c r="E30" s="165">
        <f>IF('Budget &amp; Costs'!H243="",0.00000000001,'Budget &amp; Costs'!H243)</f>
        <v>0</v>
      </c>
      <c r="F30" s="164"/>
      <c r="G30" s="166"/>
      <c r="I30" s="34" t="s">
        <v>645</v>
      </c>
      <c r="J30" s="400" t="e">
        <f>'Budget &amp; Costs'!G178</f>
        <v>#DIV/0!</v>
      </c>
      <c r="K30" s="34" t="str">
        <f>C33</f>
        <v>N/A</v>
      </c>
      <c r="L30" s="162">
        <f>IFERROR(IF(D33="",0,IF(D33&gt;0,-PMT(($E33/12),($F33*12),$D33)*12,0)),0)</f>
        <v>0</v>
      </c>
      <c r="M30" s="5" t="s">
        <v>904</v>
      </c>
    </row>
    <row r="31" spans="1:32" x14ac:dyDescent="0.25">
      <c r="B31" s="163" t="str">
        <f>'Budget &amp; Costs'!C244</f>
        <v>Other 3</v>
      </c>
      <c r="C31" s="164" t="str">
        <f>IF('Budget &amp; Costs'!E244="","N/A",'Budget &amp; Costs'!E244)</f>
        <v>N/A</v>
      </c>
      <c r="D31" s="161">
        <f>'Budget &amp; Costs'!G244</f>
        <v>0</v>
      </c>
      <c r="E31" s="165">
        <f>IF('Budget &amp; Costs'!H244="",0.00000000001,'Budget &amp; Costs'!H244)</f>
        <v>0</v>
      </c>
      <c r="F31" s="164"/>
      <c r="G31" s="166"/>
      <c r="I31" s="34" t="s">
        <v>640</v>
      </c>
      <c r="J31" s="400">
        <f>'Budget &amp; Costs'!F172</f>
        <v>0</v>
      </c>
    </row>
    <row r="32" spans="1:32" x14ac:dyDescent="0.25">
      <c r="B32" s="163" t="str">
        <f>'Budget &amp; Costs'!C245</f>
        <v>Other 4</v>
      </c>
      <c r="C32" s="164" t="str">
        <f>IF('Budget &amp; Costs'!E245="","N/A",'Budget &amp; Costs'!E245)</f>
        <v>N/A</v>
      </c>
      <c r="D32" s="161">
        <f>'Budget &amp; Costs'!G245</f>
        <v>0</v>
      </c>
      <c r="E32" s="165">
        <f>IF('Budget &amp; Costs'!H245="",0.00000000001,'Budget &amp; Costs'!H245)</f>
        <v>0</v>
      </c>
      <c r="F32" s="164" t="str">
        <f>IF(OR('Budget &amp; Costs'!K243="",'Budget &amp; Costs'!K243=0),"",'Budget &amp; Costs'!K243)</f>
        <v/>
      </c>
      <c r="G32" s="166">
        <f>IF(D32="",0,IF(D32&gt;0,(D32/$D$34),0))</f>
        <v>0</v>
      </c>
      <c r="I32" s="34" t="s">
        <v>641</v>
      </c>
      <c r="J32" s="400" t="e">
        <f>'Budget &amp; Costs'!G172</f>
        <v>#DIV/0!</v>
      </c>
    </row>
    <row r="33" spans="1:32" x14ac:dyDescent="0.25">
      <c r="B33" s="163" t="str">
        <f>'Budget &amp; Costs'!C246</f>
        <v>Other 5</v>
      </c>
      <c r="C33" s="164" t="str">
        <f>IF('Budget &amp; Costs'!E246="","N/A",'Budget &amp; Costs'!E246)</f>
        <v>N/A</v>
      </c>
      <c r="D33" s="161">
        <f>'Budget &amp; Costs'!G246</f>
        <v>0</v>
      </c>
      <c r="E33" s="165">
        <f>IF('Budget &amp; Costs'!H246="",0.00000000001,'Budget &amp; Costs'!H246)</f>
        <v>0</v>
      </c>
      <c r="F33" s="164" t="str">
        <f>IF(OR('Budget &amp; Costs'!K244="",'Budget &amp; Costs'!K244=0),"",'Budget &amp; Costs'!K244)</f>
        <v/>
      </c>
      <c r="G33" s="584">
        <f>IF(D33="",0,IF(D33&gt;0,(D33/$D$34),0))</f>
        <v>0</v>
      </c>
      <c r="H33"/>
      <c r="I33" s="302"/>
      <c r="J33" s="583"/>
    </row>
    <row r="34" spans="1:32" x14ac:dyDescent="0.25">
      <c r="C34" s="10" t="s">
        <v>151</v>
      </c>
      <c r="D34" s="167">
        <f>SUM(D24:D33)</f>
        <v>0</v>
      </c>
      <c r="G34" s="585">
        <f>SUM(G24:G33)</f>
        <v>0</v>
      </c>
      <c r="H34"/>
      <c r="I34" s="302"/>
      <c r="J34" s="583"/>
    </row>
    <row r="36" spans="1:32" s="143" customFormat="1" ht="24.9" customHeight="1" x14ac:dyDescent="0.25">
      <c r="A36" s="465" t="s">
        <v>632</v>
      </c>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row>
    <row r="37" spans="1:32" ht="27.6" x14ac:dyDescent="0.25">
      <c r="B37" s="52" t="s">
        <v>152</v>
      </c>
      <c r="C37" s="52" t="s">
        <v>633</v>
      </c>
      <c r="D37" s="52" t="s">
        <v>220</v>
      </c>
      <c r="E37" s="52" t="s">
        <v>221</v>
      </c>
      <c r="F37" s="52" t="s">
        <v>227</v>
      </c>
      <c r="G37" s="52" t="s">
        <v>634</v>
      </c>
      <c r="H37" s="52" t="s">
        <v>230</v>
      </c>
      <c r="I37" s="52" t="s">
        <v>635</v>
      </c>
      <c r="J37" s="52" t="s">
        <v>636</v>
      </c>
    </row>
    <row r="38" spans="1:32" x14ac:dyDescent="0.25">
      <c r="B38" s="9">
        <f>'Budget &amp; Costs'!C9</f>
        <v>0</v>
      </c>
      <c r="C38" s="9">
        <f>'Budget &amp; Costs'!D9</f>
        <v>0</v>
      </c>
      <c r="D38" s="276">
        <f>'Budget &amp; Costs'!I9</f>
        <v>0</v>
      </c>
      <c r="E38" s="276">
        <f>'Budget &amp; Costs'!J9</f>
        <v>0</v>
      </c>
      <c r="F38" s="276">
        <f>'Budget &amp; Costs'!M9</f>
        <v>0</v>
      </c>
      <c r="G38" s="276">
        <f>'Budget &amp; Costs'!O9</f>
        <v>0</v>
      </c>
      <c r="H38" s="276">
        <f>'Budget &amp; Costs'!P9</f>
        <v>0</v>
      </c>
      <c r="I38" s="168">
        <f>'Budget &amp; Costs'!G9</f>
        <v>0</v>
      </c>
      <c r="J38" s="276" t="str">
        <f>'Budget &amp; Costs'!L9</f>
        <v/>
      </c>
    </row>
    <row r="39" spans="1:32" x14ac:dyDescent="0.25">
      <c r="B39" s="9">
        <f>'Budget &amp; Costs'!C10</f>
        <v>0</v>
      </c>
      <c r="C39" s="9">
        <f>'Budget &amp; Costs'!D10</f>
        <v>0</v>
      </c>
      <c r="D39" s="276">
        <f>'Budget &amp; Costs'!I10</f>
        <v>0</v>
      </c>
      <c r="E39" s="276">
        <f>'Budget &amp; Costs'!J10</f>
        <v>0</v>
      </c>
      <c r="F39" s="276">
        <f>'Budget &amp; Costs'!M10</f>
        <v>0</v>
      </c>
      <c r="G39" s="276">
        <f>'Budget &amp; Costs'!O10</f>
        <v>0</v>
      </c>
      <c r="H39" s="276">
        <f>'Budget &amp; Costs'!P10</f>
        <v>0</v>
      </c>
      <c r="I39" s="168">
        <f>'Budget &amp; Costs'!G10</f>
        <v>0</v>
      </c>
      <c r="J39" s="276" t="str">
        <f>'Budget &amp; Costs'!L10</f>
        <v/>
      </c>
    </row>
    <row r="40" spans="1:32" x14ac:dyDescent="0.25">
      <c r="B40" s="9">
        <f>'Budget &amp; Costs'!C11</f>
        <v>0</v>
      </c>
      <c r="C40" s="9">
        <f>'Budget &amp; Costs'!D11</f>
        <v>0</v>
      </c>
      <c r="D40" s="276">
        <f>'Budget &amp; Costs'!I11</f>
        <v>0</v>
      </c>
      <c r="E40" s="276">
        <f>'Budget &amp; Costs'!J11</f>
        <v>0</v>
      </c>
      <c r="F40" s="276">
        <f>'Budget &amp; Costs'!M11</f>
        <v>0</v>
      </c>
      <c r="G40" s="276">
        <f>'Budget &amp; Costs'!O11</f>
        <v>0</v>
      </c>
      <c r="H40" s="276">
        <f>'Budget &amp; Costs'!P11</f>
        <v>0</v>
      </c>
      <c r="I40" s="168">
        <f>'Budget &amp; Costs'!G11</f>
        <v>0</v>
      </c>
      <c r="J40" s="276" t="str">
        <f>'Budget &amp; Costs'!L11</f>
        <v/>
      </c>
    </row>
    <row r="41" spans="1:32" x14ac:dyDescent="0.25">
      <c r="B41" s="9">
        <f>'Budget &amp; Costs'!C12</f>
        <v>0</v>
      </c>
      <c r="C41" s="9">
        <f>'Budget &amp; Costs'!D12</f>
        <v>0</v>
      </c>
      <c r="D41" s="276">
        <f>'Budget &amp; Costs'!I12</f>
        <v>0</v>
      </c>
      <c r="E41" s="276">
        <f>'Budget &amp; Costs'!J12</f>
        <v>0</v>
      </c>
      <c r="F41" s="276">
        <f>'Budget &amp; Costs'!M12</f>
        <v>0</v>
      </c>
      <c r="G41" s="276">
        <f>'Budget &amp; Costs'!O12</f>
        <v>0</v>
      </c>
      <c r="H41" s="276">
        <f>'Budget &amp; Costs'!P12</f>
        <v>0</v>
      </c>
      <c r="I41" s="168">
        <f>'Budget &amp; Costs'!G12</f>
        <v>0</v>
      </c>
      <c r="J41" s="276" t="str">
        <f>'Budget &amp; Costs'!L12</f>
        <v/>
      </c>
    </row>
    <row r="42" spans="1:32" x14ac:dyDescent="0.25">
      <c r="B42" s="9">
        <f>'Budget &amp; Costs'!C13</f>
        <v>0</v>
      </c>
      <c r="C42" s="9">
        <f>'Budget &amp; Costs'!D13</f>
        <v>0</v>
      </c>
      <c r="D42" s="276">
        <f>'Budget &amp; Costs'!I13</f>
        <v>0</v>
      </c>
      <c r="E42" s="276">
        <f>'Budget &amp; Costs'!J13</f>
        <v>0</v>
      </c>
      <c r="F42" s="276">
        <f>'Budget &amp; Costs'!M13</f>
        <v>0</v>
      </c>
      <c r="G42" s="276">
        <f>'Budget &amp; Costs'!O13</f>
        <v>0</v>
      </c>
      <c r="H42" s="276">
        <f>'Budget &amp; Costs'!P13</f>
        <v>0</v>
      </c>
      <c r="I42" s="168">
        <f>'Budget &amp; Costs'!G13</f>
        <v>0</v>
      </c>
      <c r="J42" s="276" t="str">
        <f>'Budget &amp; Costs'!L13</f>
        <v/>
      </c>
    </row>
    <row r="43" spans="1:32" x14ac:dyDescent="0.25">
      <c r="B43" s="9">
        <f>'Budget &amp; Costs'!C14</f>
        <v>0</v>
      </c>
      <c r="C43" s="9">
        <f>'Budget &amp; Costs'!D14</f>
        <v>0</v>
      </c>
      <c r="D43" s="276">
        <f>'Budget &amp; Costs'!I14</f>
        <v>0</v>
      </c>
      <c r="E43" s="276">
        <f>'Budget &amp; Costs'!J14</f>
        <v>0</v>
      </c>
      <c r="F43" s="276">
        <f>'Budget &amp; Costs'!M14</f>
        <v>0</v>
      </c>
      <c r="G43" s="276">
        <f>'Budget &amp; Costs'!O14</f>
        <v>0</v>
      </c>
      <c r="H43" s="276">
        <f>'Budget &amp; Costs'!P14</f>
        <v>0</v>
      </c>
      <c r="I43" s="168">
        <f>'Budget &amp; Costs'!G14</f>
        <v>0</v>
      </c>
      <c r="J43" s="276" t="str">
        <f>'Budget &amp; Costs'!L14</f>
        <v/>
      </c>
    </row>
    <row r="44" spans="1:32" x14ac:dyDescent="0.25">
      <c r="B44" s="9">
        <f>'Budget &amp; Costs'!C15</f>
        <v>0</v>
      </c>
      <c r="C44" s="9">
        <f>'Budget &amp; Costs'!D15</f>
        <v>0</v>
      </c>
      <c r="D44" s="276">
        <f>'Budget &amp; Costs'!I15</f>
        <v>0</v>
      </c>
      <c r="E44" s="276">
        <f>'Budget &amp; Costs'!J15</f>
        <v>0</v>
      </c>
      <c r="F44" s="276">
        <f>'Budget &amp; Costs'!M15</f>
        <v>0</v>
      </c>
      <c r="G44" s="276">
        <f>'Budget &amp; Costs'!O15</f>
        <v>0</v>
      </c>
      <c r="H44" s="276">
        <f>'Budget &amp; Costs'!P15</f>
        <v>0</v>
      </c>
      <c r="I44" s="168">
        <f>'Budget &amp; Costs'!G15</f>
        <v>0</v>
      </c>
      <c r="J44" s="276" t="str">
        <f>'Budget &amp; Costs'!L15</f>
        <v/>
      </c>
    </row>
    <row r="45" spans="1:32" x14ac:dyDescent="0.25">
      <c r="B45" s="9">
        <f>'Budget &amp; Costs'!C16</f>
        <v>0</v>
      </c>
      <c r="C45" s="9">
        <f>'Budget &amp; Costs'!D16</f>
        <v>0</v>
      </c>
      <c r="D45" s="276">
        <f>'Budget &amp; Costs'!I16</f>
        <v>0</v>
      </c>
      <c r="E45" s="276">
        <f>'Budget &amp; Costs'!J16</f>
        <v>0</v>
      </c>
      <c r="F45" s="276">
        <f>'Budget &amp; Costs'!M16</f>
        <v>0</v>
      </c>
      <c r="G45" s="276">
        <f>'Budget &amp; Costs'!O16</f>
        <v>0</v>
      </c>
      <c r="H45" s="276">
        <f>'Budget &amp; Costs'!P16</f>
        <v>0</v>
      </c>
      <c r="I45" s="168">
        <f>'Budget &amp; Costs'!G16</f>
        <v>0</v>
      </c>
      <c r="J45" s="276" t="str">
        <f>'Budget &amp; Costs'!L16</f>
        <v/>
      </c>
    </row>
    <row r="46" spans="1:32" x14ac:dyDescent="0.25">
      <c r="B46" s="9">
        <f>'Budget &amp; Costs'!C17</f>
        <v>0</v>
      </c>
      <c r="C46" s="9">
        <f>'Budget &amp; Costs'!D17</f>
        <v>0</v>
      </c>
      <c r="D46" s="276">
        <f>'Budget &amp; Costs'!I17</f>
        <v>0</v>
      </c>
      <c r="E46" s="276">
        <f>'Budget &amp; Costs'!J17</f>
        <v>0</v>
      </c>
      <c r="F46" s="276">
        <f>'Budget &amp; Costs'!M17</f>
        <v>0</v>
      </c>
      <c r="G46" s="276">
        <f>'Budget &amp; Costs'!O17</f>
        <v>0</v>
      </c>
      <c r="H46" s="276">
        <f>'Budget &amp; Costs'!P17</f>
        <v>0</v>
      </c>
      <c r="I46" s="168">
        <f>'Budget &amp; Costs'!G17</f>
        <v>0</v>
      </c>
      <c r="J46" s="276" t="str">
        <f>'Budget &amp; Costs'!L17</f>
        <v/>
      </c>
    </row>
    <row r="47" spans="1:32" x14ac:dyDescent="0.25">
      <c r="B47" s="9">
        <f>'Budget &amp; Costs'!C18</f>
        <v>0</v>
      </c>
      <c r="C47" s="9">
        <f>'Budget &amp; Costs'!D18</f>
        <v>0</v>
      </c>
      <c r="D47" s="276">
        <f>'Budget &amp; Costs'!I18</f>
        <v>0</v>
      </c>
      <c r="E47" s="276">
        <f>'Budget &amp; Costs'!J18</f>
        <v>0</v>
      </c>
      <c r="F47" s="276">
        <f>'Budget &amp; Costs'!M18</f>
        <v>0</v>
      </c>
      <c r="G47" s="276">
        <f>'Budget &amp; Costs'!O18</f>
        <v>0</v>
      </c>
      <c r="H47" s="276">
        <f>'Budget &amp; Costs'!P18</f>
        <v>0</v>
      </c>
      <c r="I47" s="168">
        <f>'Budget &amp; Costs'!G18</f>
        <v>0</v>
      </c>
      <c r="J47" s="276" t="str">
        <f>'Budget &amp; Costs'!L18</f>
        <v/>
      </c>
    </row>
    <row r="48" spans="1:32" x14ac:dyDescent="0.25">
      <c r="B48" s="9">
        <f>'Budget &amp; Costs'!C19</f>
        <v>0</v>
      </c>
      <c r="C48" s="9">
        <f>'Budget &amp; Costs'!D19</f>
        <v>0</v>
      </c>
      <c r="D48" s="276">
        <f>'Budget &amp; Costs'!I19</f>
        <v>0</v>
      </c>
      <c r="E48" s="276">
        <f>'Budget &amp; Costs'!J19</f>
        <v>0</v>
      </c>
      <c r="F48" s="276">
        <f>'Budget &amp; Costs'!M19</f>
        <v>0</v>
      </c>
      <c r="G48" s="276">
        <f>'Budget &amp; Costs'!O19</f>
        <v>0</v>
      </c>
      <c r="H48" s="276">
        <f>'Budget &amp; Costs'!P19</f>
        <v>0</v>
      </c>
      <c r="I48" s="168">
        <f>'Budget &amp; Costs'!G19</f>
        <v>0</v>
      </c>
      <c r="J48" s="276" t="str">
        <f>'Budget &amp; Costs'!L19</f>
        <v/>
      </c>
    </row>
    <row r="49" spans="2:10" x14ac:dyDescent="0.25">
      <c r="B49" s="9">
        <f>'Budget &amp; Costs'!C20</f>
        <v>0</v>
      </c>
      <c r="C49" s="9">
        <f>'Budget &amp; Costs'!D20</f>
        <v>0</v>
      </c>
      <c r="D49" s="276">
        <f>'Budget &amp; Costs'!I20</f>
        <v>0</v>
      </c>
      <c r="E49" s="276">
        <f>'Budget &amp; Costs'!J20</f>
        <v>0</v>
      </c>
      <c r="F49" s="276">
        <f>'Budget &amp; Costs'!M20</f>
        <v>0</v>
      </c>
      <c r="G49" s="276">
        <f>'Budget &amp; Costs'!O20</f>
        <v>0</v>
      </c>
      <c r="H49" s="276">
        <f>'Budget &amp; Costs'!P20</f>
        <v>0</v>
      </c>
      <c r="I49" s="168">
        <f>'Budget &amp; Costs'!G20</f>
        <v>0</v>
      </c>
      <c r="J49" s="276" t="str">
        <f>'Budget &amp; Costs'!L20</f>
        <v/>
      </c>
    </row>
    <row r="50" spans="2:10" x14ac:dyDescent="0.25">
      <c r="B50" s="9">
        <f>'Budget &amp; Costs'!C21</f>
        <v>0</v>
      </c>
      <c r="C50" s="9">
        <f>'Budget &amp; Costs'!D21</f>
        <v>0</v>
      </c>
      <c r="D50" s="276">
        <f>'Budget &amp; Costs'!I21</f>
        <v>0</v>
      </c>
      <c r="E50" s="276">
        <f>'Budget &amp; Costs'!J21</f>
        <v>0</v>
      </c>
      <c r="F50" s="276">
        <f>'Budget &amp; Costs'!M21</f>
        <v>0</v>
      </c>
      <c r="G50" s="276">
        <f>'Budget &amp; Costs'!O21</f>
        <v>0</v>
      </c>
      <c r="H50" s="276">
        <f>'Budget &amp; Costs'!P21</f>
        <v>0</v>
      </c>
      <c r="I50" s="168">
        <f>'Budget &amp; Costs'!G21</f>
        <v>0</v>
      </c>
      <c r="J50" s="276" t="str">
        <f>'Budget &amp; Costs'!L21</f>
        <v/>
      </c>
    </row>
    <row r="51" spans="2:10" x14ac:dyDescent="0.25">
      <c r="B51" s="9">
        <f>'Budget &amp; Costs'!C22</f>
        <v>0</v>
      </c>
      <c r="C51" s="9">
        <f>'Budget &amp; Costs'!D22</f>
        <v>0</v>
      </c>
      <c r="D51" s="276">
        <f>'Budget &amp; Costs'!I22</f>
        <v>0</v>
      </c>
      <c r="E51" s="276">
        <f>'Budget &amp; Costs'!J22</f>
        <v>0</v>
      </c>
      <c r="F51" s="276">
        <f>'Budget &amp; Costs'!M22</f>
        <v>0</v>
      </c>
      <c r="G51" s="276">
        <f>'Budget &amp; Costs'!O22</f>
        <v>0</v>
      </c>
      <c r="H51" s="276">
        <f>'Budget &amp; Costs'!P22</f>
        <v>0</v>
      </c>
      <c r="I51" s="168">
        <f>'Budget &amp; Costs'!G22</f>
        <v>0</v>
      </c>
      <c r="J51" s="276" t="str">
        <f>'Budget &amp; Costs'!L22</f>
        <v/>
      </c>
    </row>
    <row r="52" spans="2:10" x14ac:dyDescent="0.25">
      <c r="B52" s="9">
        <f>'Budget &amp; Costs'!C23</f>
        <v>0</v>
      </c>
      <c r="C52" s="9">
        <f>'Budget &amp; Costs'!D23</f>
        <v>0</v>
      </c>
      <c r="D52" s="276">
        <f>'Budget &amp; Costs'!I23</f>
        <v>0</v>
      </c>
      <c r="E52" s="276">
        <f>'Budget &amp; Costs'!J23</f>
        <v>0</v>
      </c>
      <c r="F52" s="276">
        <f>'Budget &amp; Costs'!M23</f>
        <v>0</v>
      </c>
      <c r="G52" s="276">
        <f>'Budget &amp; Costs'!O23</f>
        <v>0</v>
      </c>
      <c r="H52" s="276">
        <f>'Budget &amp; Costs'!P23</f>
        <v>0</v>
      </c>
      <c r="I52" s="168">
        <f>'Budget &amp; Costs'!G23</f>
        <v>0</v>
      </c>
      <c r="J52" s="276" t="str">
        <f>'Budget &amp; Costs'!L23</f>
        <v/>
      </c>
    </row>
    <row r="53" spans="2:10" x14ac:dyDescent="0.25">
      <c r="B53" s="9">
        <f>'Budget &amp; Costs'!C24</f>
        <v>0</v>
      </c>
      <c r="C53" s="9">
        <f>'Budget &amp; Costs'!D24</f>
        <v>0</v>
      </c>
      <c r="D53" s="276">
        <f>'Budget &amp; Costs'!I24</f>
        <v>0</v>
      </c>
      <c r="E53" s="276">
        <f>'Budget &amp; Costs'!J24</f>
        <v>0</v>
      </c>
      <c r="F53" s="276">
        <f>'Budget &amp; Costs'!M24</f>
        <v>0</v>
      </c>
      <c r="G53" s="276">
        <f>'Budget &amp; Costs'!O24</f>
        <v>0</v>
      </c>
      <c r="H53" s="276">
        <f>'Budget &amp; Costs'!P24</f>
        <v>0</v>
      </c>
      <c r="I53" s="168">
        <f>'Budget &amp; Costs'!G24</f>
        <v>0</v>
      </c>
      <c r="J53" s="276" t="str">
        <f>'Budget &amp; Costs'!L24</f>
        <v/>
      </c>
    </row>
    <row r="54" spans="2:10" x14ac:dyDescent="0.25">
      <c r="B54" s="9">
        <f>'Budget &amp; Costs'!C25</f>
        <v>0</v>
      </c>
      <c r="C54" s="9">
        <f>'Budget &amp; Costs'!D25</f>
        <v>0</v>
      </c>
      <c r="D54" s="276">
        <f>'Budget &amp; Costs'!I25</f>
        <v>0</v>
      </c>
      <c r="E54" s="276">
        <f>'Budget &amp; Costs'!J25</f>
        <v>0</v>
      </c>
      <c r="F54" s="276">
        <f>'Budget &amp; Costs'!M25</f>
        <v>0</v>
      </c>
      <c r="G54" s="276">
        <f>'Budget &amp; Costs'!O25</f>
        <v>0</v>
      </c>
      <c r="H54" s="276">
        <f>'Budget &amp; Costs'!P25</f>
        <v>0</v>
      </c>
      <c r="I54" s="168">
        <f>'Budget &amp; Costs'!G25</f>
        <v>0</v>
      </c>
      <c r="J54" s="276" t="str">
        <f>'Budget &amp; Costs'!L25</f>
        <v/>
      </c>
    </row>
    <row r="55" spans="2:10" x14ac:dyDescent="0.25">
      <c r="B55" s="9">
        <f>'Budget &amp; Costs'!C26</f>
        <v>0</v>
      </c>
      <c r="C55" s="9">
        <f>'Budget &amp; Costs'!D26</f>
        <v>0</v>
      </c>
      <c r="D55" s="276">
        <f>'Budget &amp; Costs'!I26</f>
        <v>0</v>
      </c>
      <c r="E55" s="276">
        <f>'Budget &amp; Costs'!J26</f>
        <v>0</v>
      </c>
      <c r="F55" s="276">
        <f>'Budget &amp; Costs'!M26</f>
        <v>0</v>
      </c>
      <c r="G55" s="276">
        <f>'Budget &amp; Costs'!O26</f>
        <v>0</v>
      </c>
      <c r="H55" s="276">
        <f>'Budget &amp; Costs'!P26</f>
        <v>0</v>
      </c>
      <c r="I55" s="168">
        <f>'Budget &amp; Costs'!G26</f>
        <v>0</v>
      </c>
      <c r="J55" s="276" t="str">
        <f>'Budget &amp; Costs'!L26</f>
        <v/>
      </c>
    </row>
    <row r="56" spans="2:10" x14ac:dyDescent="0.25">
      <c r="B56" s="9">
        <f>'Budget &amp; Costs'!C27</f>
        <v>0</v>
      </c>
      <c r="C56" s="9">
        <f>'Budget &amp; Costs'!D27</f>
        <v>0</v>
      </c>
      <c r="D56" s="276">
        <f>'Budget &amp; Costs'!I27</f>
        <v>0</v>
      </c>
      <c r="E56" s="276">
        <f>'Budget &amp; Costs'!J27</f>
        <v>0</v>
      </c>
      <c r="F56" s="276">
        <f>'Budget &amp; Costs'!M27</f>
        <v>0</v>
      </c>
      <c r="G56" s="276">
        <f>'Budget &amp; Costs'!O27</f>
        <v>0</v>
      </c>
      <c r="H56" s="276">
        <f>'Budget &amp; Costs'!P27</f>
        <v>0</v>
      </c>
      <c r="I56" s="168">
        <f>'Budget &amp; Costs'!G27</f>
        <v>0</v>
      </c>
      <c r="J56" s="276" t="str">
        <f>'Budget &amp; Costs'!L27</f>
        <v/>
      </c>
    </row>
    <row r="57" spans="2:10" x14ac:dyDescent="0.25">
      <c r="B57" s="9">
        <f>'Budget &amp; Costs'!C28</f>
        <v>0</v>
      </c>
      <c r="C57" s="9">
        <f>'Budget &amp; Costs'!D28</f>
        <v>0</v>
      </c>
      <c r="D57" s="276">
        <f>'Budget &amp; Costs'!I28</f>
        <v>0</v>
      </c>
      <c r="E57" s="276">
        <f>'Budget &amp; Costs'!J28</f>
        <v>0</v>
      </c>
      <c r="F57" s="276">
        <f>'Budget &amp; Costs'!M28</f>
        <v>0</v>
      </c>
      <c r="G57" s="276">
        <f>'Budget &amp; Costs'!O28</f>
        <v>0</v>
      </c>
      <c r="H57" s="276">
        <f>'Budget &amp; Costs'!P28</f>
        <v>0</v>
      </c>
      <c r="I57" s="168">
        <f>'Budget &amp; Costs'!G28</f>
        <v>0</v>
      </c>
      <c r="J57" s="276" t="str">
        <f>'Budget &amp; Costs'!L28</f>
        <v/>
      </c>
    </row>
    <row r="58" spans="2:10" x14ac:dyDescent="0.25">
      <c r="B58" s="9">
        <f>'Budget &amp; Costs'!C29</f>
        <v>0</v>
      </c>
      <c r="C58" s="9">
        <f>'Budget &amp; Costs'!D29</f>
        <v>0</v>
      </c>
      <c r="D58" s="276">
        <f>'Budget &amp; Costs'!I29</f>
        <v>0</v>
      </c>
      <c r="E58" s="276">
        <f>'Budget &amp; Costs'!J29</f>
        <v>0</v>
      </c>
      <c r="F58" s="276">
        <f>'Budget &amp; Costs'!M29</f>
        <v>0</v>
      </c>
      <c r="G58" s="276">
        <f>'Budget &amp; Costs'!O29</f>
        <v>0</v>
      </c>
      <c r="H58" s="276">
        <f>'Budget &amp; Costs'!P29</f>
        <v>0</v>
      </c>
      <c r="I58" s="168">
        <f>'Budget &amp; Costs'!G29</f>
        <v>0</v>
      </c>
      <c r="J58" s="276" t="str">
        <f>'Budget &amp; Costs'!L29</f>
        <v/>
      </c>
    </row>
    <row r="59" spans="2:10" x14ac:dyDescent="0.25">
      <c r="B59" s="9">
        <f>'Budget &amp; Costs'!C30</f>
        <v>0</v>
      </c>
      <c r="C59" s="9">
        <f>'Budget &amp; Costs'!D30</f>
        <v>0</v>
      </c>
      <c r="D59" s="276">
        <f>'Budget &amp; Costs'!I30</f>
        <v>0</v>
      </c>
      <c r="E59" s="276">
        <f>'Budget &amp; Costs'!J30</f>
        <v>0</v>
      </c>
      <c r="F59" s="276">
        <f>'Budget &amp; Costs'!M30</f>
        <v>0</v>
      </c>
      <c r="G59" s="276">
        <f>'Budget &amp; Costs'!O30</f>
        <v>0</v>
      </c>
      <c r="H59" s="276">
        <f>'Budget &amp; Costs'!P30</f>
        <v>0</v>
      </c>
      <c r="I59" s="168">
        <f>'Budget &amp; Costs'!G30</f>
        <v>0</v>
      </c>
      <c r="J59" s="276" t="str">
        <f>'Budget &amp; Costs'!L30</f>
        <v/>
      </c>
    </row>
    <row r="60" spans="2:10" x14ac:dyDescent="0.25">
      <c r="B60" s="9">
        <f>'Budget &amp; Costs'!C31</f>
        <v>0</v>
      </c>
      <c r="C60" s="9">
        <f>'Budget &amp; Costs'!D31</f>
        <v>0</v>
      </c>
      <c r="D60" s="276">
        <f>'Budget &amp; Costs'!I31</f>
        <v>0</v>
      </c>
      <c r="E60" s="276">
        <f>'Budget &amp; Costs'!J31</f>
        <v>0</v>
      </c>
      <c r="F60" s="276">
        <f>'Budget &amp; Costs'!M31</f>
        <v>0</v>
      </c>
      <c r="G60" s="276">
        <f>'Budget &amp; Costs'!O31</f>
        <v>0</v>
      </c>
      <c r="H60" s="276">
        <f>'Budget &amp; Costs'!P31</f>
        <v>0</v>
      </c>
      <c r="I60" s="168">
        <f>'Budget &amp; Costs'!G31</f>
        <v>0</v>
      </c>
      <c r="J60" s="276" t="str">
        <f>'Budget &amp; Costs'!L31</f>
        <v/>
      </c>
    </row>
    <row r="61" spans="2:10" x14ac:dyDescent="0.25">
      <c r="B61" s="9">
        <f>'Budget &amp; Costs'!C32</f>
        <v>0</v>
      </c>
      <c r="C61" s="9">
        <f>'Budget &amp; Costs'!D32</f>
        <v>0</v>
      </c>
      <c r="D61" s="276">
        <f>'Budget &amp; Costs'!I32</f>
        <v>0</v>
      </c>
      <c r="E61" s="276">
        <f>'Budget &amp; Costs'!J32</f>
        <v>0</v>
      </c>
      <c r="F61" s="276">
        <f>'Budget &amp; Costs'!M32</f>
        <v>0</v>
      </c>
      <c r="G61" s="276">
        <f>'Budget &amp; Costs'!O32</f>
        <v>0</v>
      </c>
      <c r="H61" s="276">
        <f>'Budget &amp; Costs'!P32</f>
        <v>0</v>
      </c>
      <c r="I61" s="168">
        <f>'Budget &amp; Costs'!G32</f>
        <v>0</v>
      </c>
      <c r="J61" s="276" t="str">
        <f>'Budget &amp; Costs'!L32</f>
        <v/>
      </c>
    </row>
    <row r="62" spans="2:10" x14ac:dyDescent="0.25">
      <c r="B62" s="9">
        <f>'Budget &amp; Costs'!C33</f>
        <v>0</v>
      </c>
      <c r="C62" s="9">
        <f>'Budget &amp; Costs'!D33</f>
        <v>0</v>
      </c>
      <c r="D62" s="276">
        <f>'Budget &amp; Costs'!I33</f>
        <v>0</v>
      </c>
      <c r="E62" s="276">
        <f>'Budget &amp; Costs'!J33</f>
        <v>0</v>
      </c>
      <c r="F62" s="276">
        <f>'Budget &amp; Costs'!M33</f>
        <v>0</v>
      </c>
      <c r="G62" s="276">
        <f>'Budget &amp; Costs'!O33</f>
        <v>0</v>
      </c>
      <c r="H62" s="276">
        <f>'Budget &amp; Costs'!P33</f>
        <v>0</v>
      </c>
      <c r="I62" s="168">
        <f>'Budget &amp; Costs'!G33</f>
        <v>0</v>
      </c>
      <c r="J62" s="276" t="str">
        <f>'Budget &amp; Costs'!L33</f>
        <v/>
      </c>
    </row>
    <row r="63" spans="2:10" x14ac:dyDescent="0.25">
      <c r="B63" s="9">
        <f>'Budget &amp; Costs'!C34</f>
        <v>0</v>
      </c>
      <c r="C63" s="9">
        <f>'Budget &amp; Costs'!D34</f>
        <v>0</v>
      </c>
      <c r="D63" s="276">
        <f>'Budget &amp; Costs'!I34</f>
        <v>0</v>
      </c>
      <c r="E63" s="276">
        <f>'Budget &amp; Costs'!J34</f>
        <v>0</v>
      </c>
      <c r="F63" s="276">
        <f>'Budget &amp; Costs'!M34</f>
        <v>0</v>
      </c>
      <c r="G63" s="276">
        <f>'Budget &amp; Costs'!O34</f>
        <v>0</v>
      </c>
      <c r="H63" s="276">
        <f>'Budget &amp; Costs'!P34</f>
        <v>0</v>
      </c>
      <c r="I63" s="168">
        <f>'Budget &amp; Costs'!G34</f>
        <v>0</v>
      </c>
      <c r="J63" s="276" t="str">
        <f>'Budget &amp; Costs'!L34</f>
        <v/>
      </c>
    </row>
    <row r="64" spans="2:10" x14ac:dyDescent="0.25">
      <c r="B64" s="9">
        <f>'Budget &amp; Costs'!C35</f>
        <v>0</v>
      </c>
      <c r="C64" s="9">
        <f>'Budget &amp; Costs'!D35</f>
        <v>0</v>
      </c>
      <c r="D64" s="276">
        <f>'Budget &amp; Costs'!I35</f>
        <v>0</v>
      </c>
      <c r="E64" s="276">
        <f>'Budget &amp; Costs'!J35</f>
        <v>0</v>
      </c>
      <c r="F64" s="276">
        <f>'Budget &amp; Costs'!M35</f>
        <v>0</v>
      </c>
      <c r="G64" s="276">
        <f>'Budget &amp; Costs'!O35</f>
        <v>0</v>
      </c>
      <c r="H64" s="276">
        <f>'Budget &amp; Costs'!P35</f>
        <v>0</v>
      </c>
      <c r="I64" s="168">
        <f>'Budget &amp; Costs'!G35</f>
        <v>0</v>
      </c>
      <c r="J64" s="276">
        <f>'Budget &amp; Costs'!L35</f>
        <v>0</v>
      </c>
    </row>
    <row r="65" spans="1:32" x14ac:dyDescent="0.25">
      <c r="B65" s="9">
        <f>'Budget &amp; Costs'!C36</f>
        <v>0</v>
      </c>
      <c r="C65" s="9">
        <f>'Budget &amp; Costs'!D36</f>
        <v>0</v>
      </c>
      <c r="D65" s="276">
        <f>'Budget &amp; Costs'!I36</f>
        <v>0</v>
      </c>
      <c r="E65" s="276">
        <f>'Budget &amp; Costs'!J36</f>
        <v>0</v>
      </c>
      <c r="F65" s="276">
        <f>'Budget &amp; Costs'!M36</f>
        <v>0</v>
      </c>
      <c r="G65" s="276">
        <f>'Budget &amp; Costs'!O36</f>
        <v>0</v>
      </c>
      <c r="H65" s="276">
        <f>'Budget &amp; Costs'!P36</f>
        <v>0</v>
      </c>
      <c r="I65" s="168">
        <f>'Budget &amp; Costs'!G36</f>
        <v>0</v>
      </c>
      <c r="J65" s="276">
        <f>'Budget &amp; Costs'!L36</f>
        <v>0</v>
      </c>
    </row>
    <row r="66" spans="1:32" x14ac:dyDescent="0.25">
      <c r="B66" s="9">
        <f>'Budget &amp; Costs'!C37</f>
        <v>0</v>
      </c>
      <c r="C66" s="9">
        <f>'Budget &amp; Costs'!D37</f>
        <v>0</v>
      </c>
      <c r="D66" s="276">
        <f>'Budget &amp; Costs'!I37</f>
        <v>0</v>
      </c>
      <c r="E66" s="276">
        <f>'Budget &amp; Costs'!J37</f>
        <v>0</v>
      </c>
      <c r="F66" s="276">
        <f>'Budget &amp; Costs'!M37</f>
        <v>0</v>
      </c>
      <c r="G66" s="276">
        <f>'Budget &amp; Costs'!O37</f>
        <v>0</v>
      </c>
      <c r="H66" s="276">
        <f>'Budget &amp; Costs'!P37</f>
        <v>0</v>
      </c>
      <c r="I66" s="168">
        <f>'Budget &amp; Costs'!G37</f>
        <v>0</v>
      </c>
      <c r="J66" s="276">
        <f>'Budget &amp; Costs'!L37</f>
        <v>0</v>
      </c>
    </row>
    <row r="67" spans="1:32" x14ac:dyDescent="0.25">
      <c r="B67" s="9">
        <f>'Budget &amp; Costs'!C38</f>
        <v>0</v>
      </c>
      <c r="C67" s="9">
        <f>'Budget &amp; Costs'!D38</f>
        <v>0</v>
      </c>
      <c r="D67" s="276">
        <f>'Budget &amp; Costs'!I38</f>
        <v>0</v>
      </c>
      <c r="E67" s="276">
        <f>'Budget &amp; Costs'!J38</f>
        <v>0</v>
      </c>
      <c r="F67" s="276">
        <f>'Budget &amp; Costs'!M38</f>
        <v>0</v>
      </c>
      <c r="G67" s="276">
        <f>'Budget &amp; Costs'!O38</f>
        <v>0</v>
      </c>
      <c r="H67" s="276">
        <f>'Budget &amp; Costs'!P38</f>
        <v>0</v>
      </c>
      <c r="I67" s="168">
        <f>'Budget &amp; Costs'!G38</f>
        <v>0</v>
      </c>
      <c r="J67" s="276">
        <f>'Budget &amp; Costs'!L38</f>
        <v>0</v>
      </c>
    </row>
    <row r="68" spans="1:32" x14ac:dyDescent="0.25">
      <c r="B68" s="9">
        <f>'Budget &amp; Costs'!C39</f>
        <v>0</v>
      </c>
      <c r="C68" s="9">
        <f>'Budget &amp; Costs'!D39</f>
        <v>0</v>
      </c>
      <c r="D68" s="276">
        <f>'Budget &amp; Costs'!I39</f>
        <v>0</v>
      </c>
      <c r="E68" s="276">
        <f>'Budget &amp; Costs'!J39</f>
        <v>0</v>
      </c>
      <c r="F68" s="276">
        <f>'Budget &amp; Costs'!M39</f>
        <v>0</v>
      </c>
      <c r="G68" s="276">
        <f>'Budget &amp; Costs'!O39</f>
        <v>0</v>
      </c>
      <c r="H68" s="276">
        <f>'Budget &amp; Costs'!P39</f>
        <v>0</v>
      </c>
      <c r="I68" s="168">
        <f>'Budget &amp; Costs'!G39</f>
        <v>0</v>
      </c>
      <c r="J68" s="276">
        <f>'Budget &amp; Costs'!L39</f>
        <v>0</v>
      </c>
    </row>
    <row r="69" spans="1:32" x14ac:dyDescent="0.25">
      <c r="B69" s="9">
        <f>'Budget &amp; Costs'!C40</f>
        <v>0</v>
      </c>
      <c r="C69" s="9">
        <f>'Budget &amp; Costs'!D40</f>
        <v>0</v>
      </c>
      <c r="D69" s="276">
        <f>'Budget &amp; Costs'!I40</f>
        <v>0</v>
      </c>
      <c r="E69" s="276">
        <f>'Budget &amp; Costs'!J40</f>
        <v>0</v>
      </c>
      <c r="F69" s="276">
        <f>'Budget &amp; Costs'!M40</f>
        <v>0</v>
      </c>
      <c r="G69" s="276">
        <f>'Budget &amp; Costs'!O40</f>
        <v>0</v>
      </c>
      <c r="H69" s="276">
        <f>'Budget &amp; Costs'!P40</f>
        <v>0</v>
      </c>
      <c r="I69" s="168">
        <f>'Budget &amp; Costs'!G40</f>
        <v>0</v>
      </c>
      <c r="J69" s="276">
        <f>'Budget &amp; Costs'!L40</f>
        <v>0</v>
      </c>
    </row>
    <row r="70" spans="1:32" x14ac:dyDescent="0.25">
      <c r="B70" s="9">
        <f>'Budget &amp; Costs'!C41</f>
        <v>0</v>
      </c>
      <c r="C70" s="9">
        <f>'Budget &amp; Costs'!D41</f>
        <v>0</v>
      </c>
      <c r="D70" s="276">
        <f>'Budget &amp; Costs'!I41</f>
        <v>0</v>
      </c>
      <c r="E70" s="276">
        <f>'Budget &amp; Costs'!J41</f>
        <v>0</v>
      </c>
      <c r="F70" s="276">
        <f>'Budget &amp; Costs'!M41</f>
        <v>0</v>
      </c>
      <c r="G70" s="276">
        <f>'Budget &amp; Costs'!O41</f>
        <v>0</v>
      </c>
      <c r="H70" s="276">
        <f>'Budget &amp; Costs'!P41</f>
        <v>0</v>
      </c>
      <c r="I70" s="168">
        <f>'Budget &amp; Costs'!G41</f>
        <v>0</v>
      </c>
      <c r="J70" s="276">
        <f>'Budget &amp; Costs'!L41</f>
        <v>0</v>
      </c>
    </row>
    <row r="71" spans="1:32" x14ac:dyDescent="0.25">
      <c r="B71" s="9">
        <f>'Budget &amp; Costs'!C42</f>
        <v>0</v>
      </c>
      <c r="C71" s="9">
        <f>'Budget &amp; Costs'!D42</f>
        <v>0</v>
      </c>
      <c r="D71" s="276">
        <f>'Budget &amp; Costs'!I42</f>
        <v>0</v>
      </c>
      <c r="E71" s="276">
        <f>'Budget &amp; Costs'!J42</f>
        <v>0</v>
      </c>
      <c r="F71" s="276">
        <f>'Budget &amp; Costs'!M42</f>
        <v>0</v>
      </c>
      <c r="G71" s="276">
        <f>'Budget &amp; Costs'!O42</f>
        <v>0</v>
      </c>
      <c r="H71" s="276">
        <f>'Budget &amp; Costs'!P42</f>
        <v>0</v>
      </c>
      <c r="I71" s="168">
        <f>'Budget &amp; Costs'!G42</f>
        <v>0</v>
      </c>
      <c r="J71" s="276">
        <f>'Budget &amp; Costs'!L42</f>
        <v>0</v>
      </c>
    </row>
    <row r="72" spans="1:32" x14ac:dyDescent="0.25">
      <c r="B72" s="9">
        <f>'Budget &amp; Costs'!C43</f>
        <v>0</v>
      </c>
      <c r="C72" s="9">
        <f>'Budget &amp; Costs'!D43</f>
        <v>0</v>
      </c>
      <c r="D72" s="276">
        <f>'Budget &amp; Costs'!I43</f>
        <v>0</v>
      </c>
      <c r="E72" s="276">
        <f>'Budget &amp; Costs'!J43</f>
        <v>0</v>
      </c>
      <c r="F72" s="276">
        <f>'Budget &amp; Costs'!M43</f>
        <v>0</v>
      </c>
      <c r="G72" s="276">
        <f>'Budget &amp; Costs'!O43</f>
        <v>0</v>
      </c>
      <c r="H72" s="276">
        <f>'Budget &amp; Costs'!P43</f>
        <v>0</v>
      </c>
      <c r="I72" s="168">
        <f>'Budget &amp; Costs'!G43</f>
        <v>0</v>
      </c>
      <c r="J72" s="276">
        <f>'Budget &amp; Costs'!L43</f>
        <v>0</v>
      </c>
    </row>
    <row r="73" spans="1:32" x14ac:dyDescent="0.25">
      <c r="B73" s="9">
        <f>'Budget &amp; Costs'!C44</f>
        <v>0</v>
      </c>
      <c r="C73" s="9">
        <f>'Budget &amp; Costs'!D44</f>
        <v>0</v>
      </c>
      <c r="D73" s="276">
        <f>'Budget &amp; Costs'!I44</f>
        <v>0</v>
      </c>
      <c r="E73" s="276">
        <f>'Budget &amp; Costs'!J44</f>
        <v>0</v>
      </c>
      <c r="F73" s="276">
        <f>'Budget &amp; Costs'!M44</f>
        <v>0</v>
      </c>
      <c r="G73" s="276">
        <f>'Budget &amp; Costs'!O44</f>
        <v>0</v>
      </c>
      <c r="H73" s="276">
        <f>'Budget &amp; Costs'!P44</f>
        <v>0</v>
      </c>
      <c r="I73" s="168">
        <f>'Budget &amp; Costs'!G44</f>
        <v>0</v>
      </c>
      <c r="J73" s="276">
        <f>'Budget &amp; Costs'!L44</f>
        <v>0</v>
      </c>
    </row>
    <row r="74" spans="1:32" x14ac:dyDescent="0.25">
      <c r="B74" s="10">
        <f>'Budget &amp; Costs'!C45</f>
        <v>0</v>
      </c>
      <c r="H74" s="393">
        <f>'Budget &amp; Costs'!P45</f>
        <v>0</v>
      </c>
    </row>
    <row r="76" spans="1:32" s="143" customFormat="1" ht="24.9" customHeight="1" x14ac:dyDescent="0.25">
      <c r="A76" s="465" t="s">
        <v>1245</v>
      </c>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row>
    <row r="77" spans="1:32" x14ac:dyDescent="0.25">
      <c r="C77" s="15" t="s">
        <v>647</v>
      </c>
      <c r="D77" s="15" t="s">
        <v>648</v>
      </c>
      <c r="E77" s="15" t="s">
        <v>649</v>
      </c>
      <c r="F77" s="15" t="s">
        <v>650</v>
      </c>
      <c r="G77" s="15" t="s">
        <v>651</v>
      </c>
      <c r="H77" s="15" t="s">
        <v>652</v>
      </c>
      <c r="I77" s="15" t="s">
        <v>653</v>
      </c>
      <c r="J77" s="15" t="s">
        <v>654</v>
      </c>
      <c r="K77" s="15" t="s">
        <v>655</v>
      </c>
      <c r="L77" s="15" t="s">
        <v>656</v>
      </c>
      <c r="M77" s="15" t="s">
        <v>657</v>
      </c>
      <c r="N77" s="15" t="s">
        <v>658</v>
      </c>
      <c r="O77" s="15" t="s">
        <v>659</v>
      </c>
      <c r="P77" s="15" t="s">
        <v>660</v>
      </c>
      <c r="Q77" s="15" t="s">
        <v>661</v>
      </c>
      <c r="R77" s="15" t="s">
        <v>662</v>
      </c>
      <c r="S77" s="15" t="s">
        <v>663</v>
      </c>
      <c r="T77" s="15" t="s">
        <v>664</v>
      </c>
      <c r="U77" s="15" t="s">
        <v>665</v>
      </c>
      <c r="V77" s="15" t="s">
        <v>666</v>
      </c>
      <c r="W77" s="15" t="s">
        <v>667</v>
      </c>
      <c r="X77" s="15" t="s">
        <v>668</v>
      </c>
      <c r="Y77" s="15" t="s">
        <v>669</v>
      </c>
      <c r="Z77" s="15" t="s">
        <v>670</v>
      </c>
      <c r="AA77" s="15" t="s">
        <v>671</v>
      </c>
      <c r="AB77" s="15" t="s">
        <v>672</v>
      </c>
      <c r="AC77" s="15" t="s">
        <v>673</v>
      </c>
      <c r="AD77" s="15" t="s">
        <v>674</v>
      </c>
      <c r="AE77" s="15" t="s">
        <v>675</v>
      </c>
      <c r="AF77" s="15" t="s">
        <v>676</v>
      </c>
    </row>
    <row r="78" spans="1:32" x14ac:dyDescent="0.25">
      <c r="B78" s="10" t="s">
        <v>677</v>
      </c>
      <c r="C78" s="391">
        <f>H74*12</f>
        <v>0</v>
      </c>
      <c r="D78" s="391">
        <f>C78*(1+$J$25)</f>
        <v>0</v>
      </c>
      <c r="E78" s="391">
        <f t="shared" ref="E78:T82" si="1">D78*(1+$J$25)</f>
        <v>0</v>
      </c>
      <c r="F78" s="391">
        <f t="shared" si="1"/>
        <v>0</v>
      </c>
      <c r="G78" s="391">
        <f t="shared" si="1"/>
        <v>0</v>
      </c>
      <c r="H78" s="391">
        <f t="shared" si="1"/>
        <v>0</v>
      </c>
      <c r="I78" s="391">
        <f t="shared" si="1"/>
        <v>0</v>
      </c>
      <c r="J78" s="391">
        <f t="shared" si="1"/>
        <v>0</v>
      </c>
      <c r="K78" s="391">
        <f t="shared" si="1"/>
        <v>0</v>
      </c>
      <c r="L78" s="391">
        <f t="shared" si="1"/>
        <v>0</v>
      </c>
      <c r="M78" s="391">
        <f t="shared" si="1"/>
        <v>0</v>
      </c>
      <c r="N78" s="391">
        <f t="shared" si="1"/>
        <v>0</v>
      </c>
      <c r="O78" s="391">
        <f t="shared" si="1"/>
        <v>0</v>
      </c>
      <c r="P78" s="391">
        <f t="shared" si="1"/>
        <v>0</v>
      </c>
      <c r="Q78" s="391">
        <f t="shared" si="1"/>
        <v>0</v>
      </c>
      <c r="R78" s="391">
        <f t="shared" si="1"/>
        <v>0</v>
      </c>
      <c r="S78" s="391">
        <f t="shared" si="1"/>
        <v>0</v>
      </c>
      <c r="T78" s="391">
        <f t="shared" si="1"/>
        <v>0</v>
      </c>
      <c r="U78" s="391">
        <f t="shared" ref="T78:AF82" si="2">T78*(1+$J$25)</f>
        <v>0</v>
      </c>
      <c r="V78" s="391">
        <f t="shared" si="2"/>
        <v>0</v>
      </c>
      <c r="W78" s="391">
        <f t="shared" si="2"/>
        <v>0</v>
      </c>
      <c r="X78" s="391">
        <f t="shared" si="2"/>
        <v>0</v>
      </c>
      <c r="Y78" s="391">
        <f t="shared" si="2"/>
        <v>0</v>
      </c>
      <c r="Z78" s="391">
        <f t="shared" si="2"/>
        <v>0</v>
      </c>
      <c r="AA78" s="391">
        <f t="shared" si="2"/>
        <v>0</v>
      </c>
      <c r="AB78" s="391">
        <f t="shared" si="2"/>
        <v>0</v>
      </c>
      <c r="AC78" s="391">
        <f t="shared" si="2"/>
        <v>0</v>
      </c>
      <c r="AD78" s="391">
        <f t="shared" si="2"/>
        <v>0</v>
      </c>
      <c r="AE78" s="391">
        <f t="shared" si="2"/>
        <v>0</v>
      </c>
      <c r="AF78" s="391">
        <f t="shared" si="2"/>
        <v>0</v>
      </c>
    </row>
    <row r="79" spans="1:32" x14ac:dyDescent="0.25">
      <c r="B79" s="10" t="s">
        <v>678</v>
      </c>
      <c r="C79" s="391">
        <f>'Budget &amp; Costs'!$F$91</f>
        <v>0</v>
      </c>
      <c r="D79" s="391">
        <f>C79*(1+$J$25)</f>
        <v>0</v>
      </c>
      <c r="E79" s="391">
        <f t="shared" si="1"/>
        <v>0</v>
      </c>
      <c r="F79" s="391">
        <f t="shared" si="1"/>
        <v>0</v>
      </c>
      <c r="G79" s="391">
        <f t="shared" si="1"/>
        <v>0</v>
      </c>
      <c r="H79" s="391">
        <f t="shared" si="1"/>
        <v>0</v>
      </c>
      <c r="I79" s="391">
        <f t="shared" si="1"/>
        <v>0</v>
      </c>
      <c r="J79" s="391">
        <f t="shared" si="1"/>
        <v>0</v>
      </c>
      <c r="K79" s="391">
        <f t="shared" si="1"/>
        <v>0</v>
      </c>
      <c r="L79" s="391">
        <f t="shared" si="1"/>
        <v>0</v>
      </c>
      <c r="M79" s="391">
        <f t="shared" si="1"/>
        <v>0</v>
      </c>
      <c r="N79" s="391">
        <f t="shared" si="1"/>
        <v>0</v>
      </c>
      <c r="O79" s="391">
        <f t="shared" si="1"/>
        <v>0</v>
      </c>
      <c r="P79" s="391">
        <f t="shared" si="1"/>
        <v>0</v>
      </c>
      <c r="Q79" s="391">
        <f t="shared" si="1"/>
        <v>0</v>
      </c>
      <c r="R79" s="391">
        <f t="shared" si="1"/>
        <v>0</v>
      </c>
      <c r="S79" s="391">
        <f t="shared" si="1"/>
        <v>0</v>
      </c>
      <c r="T79" s="391">
        <f t="shared" si="2"/>
        <v>0</v>
      </c>
      <c r="U79" s="391">
        <f t="shared" si="2"/>
        <v>0</v>
      </c>
      <c r="V79" s="391">
        <f t="shared" si="2"/>
        <v>0</v>
      </c>
      <c r="W79" s="391">
        <f t="shared" si="2"/>
        <v>0</v>
      </c>
      <c r="X79" s="391">
        <f t="shared" si="2"/>
        <v>0</v>
      </c>
      <c r="Y79" s="391">
        <f t="shared" si="2"/>
        <v>0</v>
      </c>
      <c r="Z79" s="391">
        <f t="shared" si="2"/>
        <v>0</v>
      </c>
      <c r="AA79" s="391">
        <f t="shared" si="2"/>
        <v>0</v>
      </c>
      <c r="AB79" s="391">
        <f t="shared" si="2"/>
        <v>0</v>
      </c>
      <c r="AC79" s="391">
        <f t="shared" si="2"/>
        <v>0</v>
      </c>
      <c r="AD79" s="391">
        <f t="shared" si="2"/>
        <v>0</v>
      </c>
      <c r="AE79" s="391">
        <f t="shared" si="2"/>
        <v>0</v>
      </c>
      <c r="AF79" s="391">
        <f t="shared" si="2"/>
        <v>0</v>
      </c>
    </row>
    <row r="80" spans="1:32" x14ac:dyDescent="0.25">
      <c r="B80" s="10" t="s">
        <v>679</v>
      </c>
      <c r="C80" s="391">
        <f>'Budget &amp; Costs'!$F$92+'Budget &amp; Costs'!$F$94</f>
        <v>0</v>
      </c>
      <c r="D80" s="391">
        <f>C80*(1+$J$25)</f>
        <v>0</v>
      </c>
      <c r="E80" s="391">
        <f t="shared" si="1"/>
        <v>0</v>
      </c>
      <c r="F80" s="391">
        <f t="shared" si="1"/>
        <v>0</v>
      </c>
      <c r="G80" s="391">
        <f t="shared" si="1"/>
        <v>0</v>
      </c>
      <c r="H80" s="391">
        <f t="shared" si="1"/>
        <v>0</v>
      </c>
      <c r="I80" s="391">
        <f t="shared" si="1"/>
        <v>0</v>
      </c>
      <c r="J80" s="391">
        <f t="shared" si="1"/>
        <v>0</v>
      </c>
      <c r="K80" s="391">
        <f t="shared" si="1"/>
        <v>0</v>
      </c>
      <c r="L80" s="391">
        <f t="shared" si="1"/>
        <v>0</v>
      </c>
      <c r="M80" s="391">
        <f t="shared" si="1"/>
        <v>0</v>
      </c>
      <c r="N80" s="391">
        <f t="shared" si="1"/>
        <v>0</v>
      </c>
      <c r="O80" s="391">
        <f t="shared" si="1"/>
        <v>0</v>
      </c>
      <c r="P80" s="391">
        <f t="shared" si="1"/>
        <v>0</v>
      </c>
      <c r="Q80" s="391">
        <f t="shared" si="1"/>
        <v>0</v>
      </c>
      <c r="R80" s="391">
        <f t="shared" si="1"/>
        <v>0</v>
      </c>
      <c r="S80" s="391">
        <f t="shared" si="1"/>
        <v>0</v>
      </c>
      <c r="T80" s="391">
        <f t="shared" si="1"/>
        <v>0</v>
      </c>
      <c r="U80" s="391">
        <f t="shared" si="2"/>
        <v>0</v>
      </c>
      <c r="V80" s="391">
        <f t="shared" si="2"/>
        <v>0</v>
      </c>
      <c r="W80" s="391">
        <f t="shared" si="2"/>
        <v>0</v>
      </c>
      <c r="X80" s="391">
        <f t="shared" si="2"/>
        <v>0</v>
      </c>
      <c r="Y80" s="391">
        <f t="shared" si="2"/>
        <v>0</v>
      </c>
      <c r="Z80" s="391">
        <f t="shared" si="2"/>
        <v>0</v>
      </c>
      <c r="AA80" s="391">
        <f t="shared" si="2"/>
        <v>0</v>
      </c>
      <c r="AB80" s="391">
        <f t="shared" si="2"/>
        <v>0</v>
      </c>
      <c r="AC80" s="391">
        <f t="shared" si="2"/>
        <v>0</v>
      </c>
      <c r="AD80" s="391">
        <f t="shared" si="2"/>
        <v>0</v>
      </c>
      <c r="AE80" s="391">
        <f t="shared" si="2"/>
        <v>0</v>
      </c>
      <c r="AF80" s="391">
        <f t="shared" si="2"/>
        <v>0</v>
      </c>
    </row>
    <row r="81" spans="1:32" x14ac:dyDescent="0.25">
      <c r="B81" s="10" t="s">
        <v>1422</v>
      </c>
      <c r="C81" s="391">
        <f>'Budget &amp; Costs'!$F$101</f>
        <v>0</v>
      </c>
      <c r="D81" s="391">
        <f>C81*(1+$J$25)</f>
        <v>0</v>
      </c>
      <c r="E81" s="391">
        <f t="shared" si="1"/>
        <v>0</v>
      </c>
      <c r="F81" s="391">
        <f t="shared" si="1"/>
        <v>0</v>
      </c>
      <c r="G81" s="391">
        <f t="shared" si="1"/>
        <v>0</v>
      </c>
      <c r="H81" s="391">
        <f t="shared" si="1"/>
        <v>0</v>
      </c>
      <c r="I81" s="391">
        <f t="shared" si="1"/>
        <v>0</v>
      </c>
      <c r="J81" s="391">
        <f t="shared" si="1"/>
        <v>0</v>
      </c>
      <c r="K81" s="391">
        <f t="shared" si="1"/>
        <v>0</v>
      </c>
      <c r="L81" s="391">
        <f t="shared" si="1"/>
        <v>0</v>
      </c>
      <c r="M81" s="391">
        <f t="shared" si="1"/>
        <v>0</v>
      </c>
      <c r="N81" s="391">
        <f t="shared" si="1"/>
        <v>0</v>
      </c>
      <c r="O81" s="391">
        <f t="shared" si="1"/>
        <v>0</v>
      </c>
      <c r="P81" s="391">
        <f t="shared" si="1"/>
        <v>0</v>
      </c>
      <c r="Q81" s="391">
        <f t="shared" si="1"/>
        <v>0</v>
      </c>
      <c r="R81" s="391">
        <f t="shared" si="1"/>
        <v>0</v>
      </c>
      <c r="S81" s="391">
        <f t="shared" si="1"/>
        <v>0</v>
      </c>
      <c r="T81" s="391">
        <f t="shared" si="1"/>
        <v>0</v>
      </c>
      <c r="U81" s="391">
        <f t="shared" si="2"/>
        <v>0</v>
      </c>
      <c r="V81" s="391">
        <f t="shared" si="2"/>
        <v>0</v>
      </c>
      <c r="W81" s="391">
        <f t="shared" si="2"/>
        <v>0</v>
      </c>
      <c r="X81" s="391">
        <f t="shared" si="2"/>
        <v>0</v>
      </c>
      <c r="Y81" s="391">
        <f t="shared" si="2"/>
        <v>0</v>
      </c>
      <c r="Z81" s="391">
        <f t="shared" si="2"/>
        <v>0</v>
      </c>
      <c r="AA81" s="391">
        <f t="shared" si="2"/>
        <v>0</v>
      </c>
      <c r="AB81" s="391">
        <f t="shared" si="2"/>
        <v>0</v>
      </c>
      <c r="AC81" s="391">
        <f t="shared" si="2"/>
        <v>0</v>
      </c>
      <c r="AD81" s="391">
        <f t="shared" si="2"/>
        <v>0</v>
      </c>
      <c r="AE81" s="391">
        <f t="shared" si="2"/>
        <v>0</v>
      </c>
      <c r="AF81" s="391">
        <f t="shared" si="2"/>
        <v>0</v>
      </c>
    </row>
    <row r="82" spans="1:32" x14ac:dyDescent="0.25">
      <c r="B82" s="10" t="s">
        <v>1423</v>
      </c>
      <c r="C82" s="391">
        <f>'Budget &amp; Costs'!$F$109</f>
        <v>0</v>
      </c>
      <c r="D82" s="391">
        <f>C82*(1+$J$25)</f>
        <v>0</v>
      </c>
      <c r="E82" s="391">
        <f t="shared" si="1"/>
        <v>0</v>
      </c>
      <c r="F82" s="391">
        <f t="shared" si="1"/>
        <v>0</v>
      </c>
      <c r="G82" s="391">
        <f t="shared" si="1"/>
        <v>0</v>
      </c>
      <c r="H82" s="391">
        <f t="shared" si="1"/>
        <v>0</v>
      </c>
      <c r="I82" s="391">
        <f t="shared" si="1"/>
        <v>0</v>
      </c>
      <c r="J82" s="391">
        <f t="shared" si="1"/>
        <v>0</v>
      </c>
      <c r="K82" s="391">
        <f t="shared" si="1"/>
        <v>0</v>
      </c>
      <c r="L82" s="391">
        <f t="shared" si="1"/>
        <v>0</v>
      </c>
      <c r="M82" s="391">
        <f t="shared" si="1"/>
        <v>0</v>
      </c>
      <c r="N82" s="391">
        <f t="shared" si="1"/>
        <v>0</v>
      </c>
      <c r="O82" s="391">
        <f t="shared" si="1"/>
        <v>0</v>
      </c>
      <c r="P82" s="391">
        <f t="shared" si="1"/>
        <v>0</v>
      </c>
      <c r="Q82" s="391">
        <f t="shared" si="1"/>
        <v>0</v>
      </c>
      <c r="R82" s="391">
        <f t="shared" si="1"/>
        <v>0</v>
      </c>
      <c r="S82" s="391">
        <f t="shared" si="1"/>
        <v>0</v>
      </c>
      <c r="T82" s="391">
        <f t="shared" si="1"/>
        <v>0</v>
      </c>
      <c r="U82" s="391">
        <f t="shared" si="2"/>
        <v>0</v>
      </c>
      <c r="V82" s="391">
        <f t="shared" si="2"/>
        <v>0</v>
      </c>
      <c r="W82" s="391">
        <f t="shared" si="2"/>
        <v>0</v>
      </c>
      <c r="X82" s="391">
        <f t="shared" si="2"/>
        <v>0</v>
      </c>
      <c r="Y82" s="391">
        <f t="shared" si="2"/>
        <v>0</v>
      </c>
      <c r="Z82" s="391">
        <f t="shared" si="2"/>
        <v>0</v>
      </c>
      <c r="AA82" s="391">
        <f t="shared" si="2"/>
        <v>0</v>
      </c>
      <c r="AB82" s="391">
        <f t="shared" si="2"/>
        <v>0</v>
      </c>
      <c r="AC82" s="391">
        <f t="shared" si="2"/>
        <v>0</v>
      </c>
      <c r="AD82" s="391">
        <f t="shared" si="2"/>
        <v>0</v>
      </c>
      <c r="AE82" s="391">
        <f t="shared" si="2"/>
        <v>0</v>
      </c>
      <c r="AF82" s="391">
        <f t="shared" si="2"/>
        <v>0</v>
      </c>
    </row>
    <row r="83" spans="1:32" x14ac:dyDescent="0.25">
      <c r="B83" s="10" t="s">
        <v>680</v>
      </c>
      <c r="C83" s="391">
        <f>J27*(C78+C79+C80)</f>
        <v>0</v>
      </c>
      <c r="D83" s="391">
        <f>$J$27*SUM(D78:D80)</f>
        <v>0</v>
      </c>
      <c r="E83" s="391">
        <f>$J$27*SUM(E78:E80)</f>
        <v>0</v>
      </c>
      <c r="F83" s="391">
        <f>$J$27*SUM(F78:F80)</f>
        <v>0</v>
      </c>
      <c r="G83" s="391">
        <f>$J$27*SUM(G78:G80)</f>
        <v>0</v>
      </c>
      <c r="H83" s="391">
        <f t="shared" ref="H83:AF83" si="3">$J$27*SUM(H78:H80)</f>
        <v>0</v>
      </c>
      <c r="I83" s="391">
        <f t="shared" si="3"/>
        <v>0</v>
      </c>
      <c r="J83" s="391">
        <f t="shared" si="3"/>
        <v>0</v>
      </c>
      <c r="K83" s="391">
        <f t="shared" si="3"/>
        <v>0</v>
      </c>
      <c r="L83" s="391">
        <f t="shared" si="3"/>
        <v>0</v>
      </c>
      <c r="M83" s="391">
        <f t="shared" si="3"/>
        <v>0</v>
      </c>
      <c r="N83" s="391">
        <f t="shared" si="3"/>
        <v>0</v>
      </c>
      <c r="O83" s="391">
        <f t="shared" si="3"/>
        <v>0</v>
      </c>
      <c r="P83" s="391">
        <f t="shared" si="3"/>
        <v>0</v>
      </c>
      <c r="Q83" s="391">
        <f t="shared" si="3"/>
        <v>0</v>
      </c>
      <c r="R83" s="391">
        <f t="shared" si="3"/>
        <v>0</v>
      </c>
      <c r="S83" s="391">
        <f t="shared" si="3"/>
        <v>0</v>
      </c>
      <c r="T83" s="391">
        <f t="shared" si="3"/>
        <v>0</v>
      </c>
      <c r="U83" s="391">
        <f t="shared" si="3"/>
        <v>0</v>
      </c>
      <c r="V83" s="391">
        <f t="shared" si="3"/>
        <v>0</v>
      </c>
      <c r="W83" s="391">
        <f t="shared" si="3"/>
        <v>0</v>
      </c>
      <c r="X83" s="391">
        <f t="shared" si="3"/>
        <v>0</v>
      </c>
      <c r="Y83" s="391">
        <f t="shared" si="3"/>
        <v>0</v>
      </c>
      <c r="Z83" s="391">
        <f t="shared" si="3"/>
        <v>0</v>
      </c>
      <c r="AA83" s="391">
        <f t="shared" si="3"/>
        <v>0</v>
      </c>
      <c r="AB83" s="391">
        <f t="shared" si="3"/>
        <v>0</v>
      </c>
      <c r="AC83" s="391">
        <f t="shared" si="3"/>
        <v>0</v>
      </c>
      <c r="AD83" s="391">
        <f t="shared" si="3"/>
        <v>0</v>
      </c>
      <c r="AE83" s="391">
        <f t="shared" si="3"/>
        <v>0</v>
      </c>
      <c r="AF83" s="391">
        <f t="shared" si="3"/>
        <v>0</v>
      </c>
    </row>
    <row r="84" spans="1:32" x14ac:dyDescent="0.25">
      <c r="B84" s="10" t="s">
        <v>681</v>
      </c>
      <c r="C84" s="392"/>
      <c r="D84" s="391">
        <f>C84*(1+$J$25)</f>
        <v>0</v>
      </c>
      <c r="E84" s="391">
        <f t="shared" ref="E84:T84" si="4">D84*(1+$J$25)</f>
        <v>0</v>
      </c>
      <c r="F84" s="391">
        <f t="shared" si="4"/>
        <v>0</v>
      </c>
      <c r="G84" s="391">
        <f t="shared" si="4"/>
        <v>0</v>
      </c>
      <c r="H84" s="391">
        <f t="shared" si="4"/>
        <v>0</v>
      </c>
      <c r="I84" s="391">
        <f t="shared" si="4"/>
        <v>0</v>
      </c>
      <c r="J84" s="391">
        <f t="shared" si="4"/>
        <v>0</v>
      </c>
      <c r="K84" s="391">
        <f t="shared" si="4"/>
        <v>0</v>
      </c>
      <c r="L84" s="391">
        <f t="shared" si="4"/>
        <v>0</v>
      </c>
      <c r="M84" s="391">
        <f t="shared" si="4"/>
        <v>0</v>
      </c>
      <c r="N84" s="391">
        <f t="shared" si="4"/>
        <v>0</v>
      </c>
      <c r="O84" s="391">
        <f t="shared" si="4"/>
        <v>0</v>
      </c>
      <c r="P84" s="391">
        <f t="shared" si="4"/>
        <v>0</v>
      </c>
      <c r="Q84" s="391">
        <f t="shared" si="4"/>
        <v>0</v>
      </c>
      <c r="R84" s="391">
        <f t="shared" si="4"/>
        <v>0</v>
      </c>
      <c r="S84" s="391">
        <f t="shared" si="4"/>
        <v>0</v>
      </c>
      <c r="T84" s="391">
        <f t="shared" si="4"/>
        <v>0</v>
      </c>
      <c r="U84" s="391">
        <f t="shared" ref="U84:AF84" si="5">T84*(1+$J$25)</f>
        <v>0</v>
      </c>
      <c r="V84" s="391">
        <f t="shared" si="5"/>
        <v>0</v>
      </c>
      <c r="W84" s="391">
        <f t="shared" si="5"/>
        <v>0</v>
      </c>
      <c r="X84" s="391">
        <f t="shared" si="5"/>
        <v>0</v>
      </c>
      <c r="Y84" s="391">
        <f t="shared" si="5"/>
        <v>0</v>
      </c>
      <c r="Z84" s="391">
        <f t="shared" si="5"/>
        <v>0</v>
      </c>
      <c r="AA84" s="391">
        <f t="shared" si="5"/>
        <v>0</v>
      </c>
      <c r="AB84" s="391">
        <f t="shared" si="5"/>
        <v>0</v>
      </c>
      <c r="AC84" s="391">
        <f t="shared" si="5"/>
        <v>0</v>
      </c>
      <c r="AD84" s="391">
        <f t="shared" si="5"/>
        <v>0</v>
      </c>
      <c r="AE84" s="391">
        <f t="shared" si="5"/>
        <v>0</v>
      </c>
      <c r="AF84" s="391">
        <f t="shared" si="5"/>
        <v>0</v>
      </c>
    </row>
    <row r="85" spans="1:32" x14ac:dyDescent="0.25">
      <c r="B85" s="10" t="s">
        <v>260</v>
      </c>
      <c r="C85" s="391">
        <f>SUM(C78:C82)-SUM(C83:C84)</f>
        <v>0</v>
      </c>
      <c r="D85" s="391">
        <f t="shared" ref="D85:AF85" si="6">SUM(D78:D82)-SUM(D83:D84)</f>
        <v>0</v>
      </c>
      <c r="E85" s="391">
        <f t="shared" si="6"/>
        <v>0</v>
      </c>
      <c r="F85" s="391">
        <f t="shared" si="6"/>
        <v>0</v>
      </c>
      <c r="G85" s="391">
        <f t="shared" si="6"/>
        <v>0</v>
      </c>
      <c r="H85" s="391">
        <f t="shared" si="6"/>
        <v>0</v>
      </c>
      <c r="I85" s="391">
        <f t="shared" si="6"/>
        <v>0</v>
      </c>
      <c r="J85" s="391">
        <f t="shared" si="6"/>
        <v>0</v>
      </c>
      <c r="K85" s="391">
        <f t="shared" si="6"/>
        <v>0</v>
      </c>
      <c r="L85" s="391">
        <f t="shared" si="6"/>
        <v>0</v>
      </c>
      <c r="M85" s="391">
        <f t="shared" si="6"/>
        <v>0</v>
      </c>
      <c r="N85" s="391">
        <f t="shared" si="6"/>
        <v>0</v>
      </c>
      <c r="O85" s="391">
        <f t="shared" si="6"/>
        <v>0</v>
      </c>
      <c r="P85" s="391">
        <f t="shared" si="6"/>
        <v>0</v>
      </c>
      <c r="Q85" s="391">
        <f t="shared" si="6"/>
        <v>0</v>
      </c>
      <c r="R85" s="391">
        <f t="shared" si="6"/>
        <v>0</v>
      </c>
      <c r="S85" s="391">
        <f t="shared" si="6"/>
        <v>0</v>
      </c>
      <c r="T85" s="391">
        <f t="shared" si="6"/>
        <v>0</v>
      </c>
      <c r="U85" s="391">
        <f t="shared" si="6"/>
        <v>0</v>
      </c>
      <c r="V85" s="391">
        <f t="shared" si="6"/>
        <v>0</v>
      </c>
      <c r="W85" s="391">
        <f t="shared" si="6"/>
        <v>0</v>
      </c>
      <c r="X85" s="391">
        <f t="shared" si="6"/>
        <v>0</v>
      </c>
      <c r="Y85" s="391">
        <f t="shared" si="6"/>
        <v>0</v>
      </c>
      <c r="Z85" s="391">
        <f t="shared" si="6"/>
        <v>0</v>
      </c>
      <c r="AA85" s="391">
        <f t="shared" si="6"/>
        <v>0</v>
      </c>
      <c r="AB85" s="391">
        <f t="shared" si="6"/>
        <v>0</v>
      </c>
      <c r="AC85" s="391">
        <f t="shared" si="6"/>
        <v>0</v>
      </c>
      <c r="AD85" s="391">
        <f t="shared" si="6"/>
        <v>0</v>
      </c>
      <c r="AE85" s="391">
        <f t="shared" si="6"/>
        <v>0</v>
      </c>
      <c r="AF85" s="391">
        <f t="shared" si="6"/>
        <v>0</v>
      </c>
    </row>
    <row r="86" spans="1:32" x14ac:dyDescent="0.25">
      <c r="C86" s="170"/>
      <c r="D86" s="170"/>
      <c r="E86" s="170"/>
      <c r="F86" s="170"/>
      <c r="G86" s="170"/>
      <c r="H86" s="170"/>
      <c r="I86" s="170"/>
      <c r="J86" s="170"/>
      <c r="K86" s="170"/>
      <c r="L86" s="170"/>
      <c r="M86" s="170"/>
      <c r="N86" s="170"/>
      <c r="O86" s="170"/>
      <c r="P86" s="170"/>
      <c r="Q86" s="170"/>
      <c r="R86" s="170"/>
      <c r="S86" s="170"/>
      <c r="T86" s="170"/>
      <c r="U86" s="170"/>
      <c r="V86" s="170"/>
      <c r="W86" s="170"/>
      <c r="X86" s="170"/>
      <c r="Y86" s="170"/>
      <c r="Z86" s="170"/>
      <c r="AA86" s="170"/>
      <c r="AB86" s="170"/>
      <c r="AC86" s="170"/>
      <c r="AD86" s="170"/>
      <c r="AE86" s="170"/>
      <c r="AF86" s="170"/>
    </row>
    <row r="87" spans="1:32" x14ac:dyDescent="0.25">
      <c r="B87" s="10" t="s">
        <v>682</v>
      </c>
      <c r="C87" s="391">
        <f>J29-J31</f>
        <v>0</v>
      </c>
      <c r="D87" s="391">
        <f>C87*(1+$J$26)</f>
        <v>0</v>
      </c>
      <c r="E87" s="391">
        <f t="shared" ref="E87:AF87" si="7">D87*(1+$J$26)</f>
        <v>0</v>
      </c>
      <c r="F87" s="391">
        <f t="shared" si="7"/>
        <v>0</v>
      </c>
      <c r="G87" s="391">
        <f t="shared" si="7"/>
        <v>0</v>
      </c>
      <c r="H87" s="391">
        <f t="shared" si="7"/>
        <v>0</v>
      </c>
      <c r="I87" s="391">
        <f t="shared" si="7"/>
        <v>0</v>
      </c>
      <c r="J87" s="391">
        <f t="shared" si="7"/>
        <v>0</v>
      </c>
      <c r="K87" s="391">
        <f t="shared" si="7"/>
        <v>0</v>
      </c>
      <c r="L87" s="391">
        <f t="shared" si="7"/>
        <v>0</v>
      </c>
      <c r="M87" s="391">
        <f t="shared" si="7"/>
        <v>0</v>
      </c>
      <c r="N87" s="391">
        <f t="shared" si="7"/>
        <v>0</v>
      </c>
      <c r="O87" s="391">
        <f t="shared" si="7"/>
        <v>0</v>
      </c>
      <c r="P87" s="391">
        <f t="shared" si="7"/>
        <v>0</v>
      </c>
      <c r="Q87" s="391">
        <f t="shared" si="7"/>
        <v>0</v>
      </c>
      <c r="R87" s="391">
        <f t="shared" si="7"/>
        <v>0</v>
      </c>
      <c r="S87" s="391">
        <f t="shared" si="7"/>
        <v>0</v>
      </c>
      <c r="T87" s="391">
        <f t="shared" si="7"/>
        <v>0</v>
      </c>
      <c r="U87" s="391">
        <f t="shared" si="7"/>
        <v>0</v>
      </c>
      <c r="V87" s="391">
        <f t="shared" si="7"/>
        <v>0</v>
      </c>
      <c r="W87" s="391">
        <f t="shared" si="7"/>
        <v>0</v>
      </c>
      <c r="X87" s="391">
        <f t="shared" si="7"/>
        <v>0</v>
      </c>
      <c r="Y87" s="391">
        <f t="shared" si="7"/>
        <v>0</v>
      </c>
      <c r="Z87" s="391">
        <f t="shared" si="7"/>
        <v>0</v>
      </c>
      <c r="AA87" s="391">
        <f t="shared" si="7"/>
        <v>0</v>
      </c>
      <c r="AB87" s="391">
        <f t="shared" si="7"/>
        <v>0</v>
      </c>
      <c r="AC87" s="391">
        <f t="shared" si="7"/>
        <v>0</v>
      </c>
      <c r="AD87" s="391">
        <f t="shared" si="7"/>
        <v>0</v>
      </c>
      <c r="AE87" s="391">
        <f t="shared" si="7"/>
        <v>0</v>
      </c>
      <c r="AF87" s="391">
        <f t="shared" si="7"/>
        <v>0</v>
      </c>
    </row>
    <row r="88" spans="1:32" x14ac:dyDescent="0.25">
      <c r="B88" s="10" t="s">
        <v>683</v>
      </c>
      <c r="C88" s="392"/>
      <c r="D88" s="392"/>
      <c r="E88" s="392"/>
      <c r="F88" s="392"/>
      <c r="G88" s="392"/>
      <c r="H88" s="392"/>
      <c r="I88" s="392"/>
      <c r="J88" s="392"/>
      <c r="K88" s="392"/>
      <c r="L88" s="392"/>
      <c r="M88" s="392"/>
      <c r="N88" s="392"/>
      <c r="O88" s="392"/>
      <c r="P88" s="392"/>
      <c r="Q88" s="392"/>
      <c r="R88" s="392"/>
      <c r="S88" s="392"/>
      <c r="T88" s="392"/>
      <c r="U88" s="392"/>
      <c r="V88" s="392"/>
      <c r="W88" s="392"/>
      <c r="X88" s="392"/>
      <c r="Y88" s="392"/>
      <c r="Z88" s="392"/>
      <c r="AA88" s="392"/>
      <c r="AB88" s="392"/>
      <c r="AC88" s="392"/>
      <c r="AD88" s="392"/>
      <c r="AE88" s="392"/>
      <c r="AF88" s="392"/>
    </row>
    <row r="89" spans="1:32" x14ac:dyDescent="0.25">
      <c r="B89" s="10" t="s">
        <v>684</v>
      </c>
      <c r="C89" s="392"/>
      <c r="D89" s="392"/>
      <c r="E89" s="392"/>
      <c r="F89" s="392"/>
      <c r="G89" s="392"/>
      <c r="H89" s="392"/>
      <c r="I89" s="392"/>
      <c r="J89" s="392"/>
      <c r="K89" s="392"/>
      <c r="L89" s="392"/>
      <c r="M89" s="392"/>
      <c r="N89" s="392"/>
      <c r="O89" s="392"/>
      <c r="P89" s="392"/>
      <c r="Q89" s="392"/>
      <c r="R89" s="392"/>
      <c r="S89" s="392"/>
      <c r="T89" s="392"/>
      <c r="U89" s="392"/>
      <c r="V89" s="392"/>
      <c r="W89" s="392"/>
      <c r="X89" s="392"/>
      <c r="Y89" s="392"/>
      <c r="Z89" s="392"/>
      <c r="AA89" s="392"/>
      <c r="AB89" s="392"/>
      <c r="AC89" s="392"/>
      <c r="AD89" s="392"/>
      <c r="AE89" s="392"/>
      <c r="AF89" s="392"/>
    </row>
    <row r="90" spans="1:32" x14ac:dyDescent="0.25">
      <c r="B90" s="10" t="s">
        <v>1424</v>
      </c>
      <c r="C90" s="391">
        <f>J31</f>
        <v>0</v>
      </c>
      <c r="D90" s="391">
        <f>C90*(1+$J$26)</f>
        <v>0</v>
      </c>
      <c r="E90" s="391">
        <f t="shared" ref="E90:AF90" si="8">D90*(1+$J$26)</f>
        <v>0</v>
      </c>
      <c r="F90" s="391">
        <f t="shared" si="8"/>
        <v>0</v>
      </c>
      <c r="G90" s="391">
        <f t="shared" si="8"/>
        <v>0</v>
      </c>
      <c r="H90" s="391">
        <f t="shared" si="8"/>
        <v>0</v>
      </c>
      <c r="I90" s="391">
        <f t="shared" si="8"/>
        <v>0</v>
      </c>
      <c r="J90" s="391">
        <f t="shared" si="8"/>
        <v>0</v>
      </c>
      <c r="K90" s="391">
        <f t="shared" si="8"/>
        <v>0</v>
      </c>
      <c r="L90" s="391">
        <f t="shared" si="8"/>
        <v>0</v>
      </c>
      <c r="M90" s="391">
        <f t="shared" si="8"/>
        <v>0</v>
      </c>
      <c r="N90" s="391">
        <f t="shared" si="8"/>
        <v>0</v>
      </c>
      <c r="O90" s="391">
        <f t="shared" si="8"/>
        <v>0</v>
      </c>
      <c r="P90" s="391">
        <f t="shared" si="8"/>
        <v>0</v>
      </c>
      <c r="Q90" s="391">
        <f t="shared" si="8"/>
        <v>0</v>
      </c>
      <c r="R90" s="391">
        <f t="shared" si="8"/>
        <v>0</v>
      </c>
      <c r="S90" s="391">
        <f t="shared" si="8"/>
        <v>0</v>
      </c>
      <c r="T90" s="391">
        <f t="shared" si="8"/>
        <v>0</v>
      </c>
      <c r="U90" s="391">
        <f t="shared" si="8"/>
        <v>0</v>
      </c>
      <c r="V90" s="391">
        <f t="shared" si="8"/>
        <v>0</v>
      </c>
      <c r="W90" s="391">
        <f t="shared" si="8"/>
        <v>0</v>
      </c>
      <c r="X90" s="391">
        <f t="shared" si="8"/>
        <v>0</v>
      </c>
      <c r="Y90" s="391">
        <f t="shared" si="8"/>
        <v>0</v>
      </c>
      <c r="Z90" s="391">
        <f t="shared" si="8"/>
        <v>0</v>
      </c>
      <c r="AA90" s="391">
        <f t="shared" si="8"/>
        <v>0</v>
      </c>
      <c r="AB90" s="391">
        <f t="shared" si="8"/>
        <v>0</v>
      </c>
      <c r="AC90" s="391">
        <f t="shared" si="8"/>
        <v>0</v>
      </c>
      <c r="AD90" s="391">
        <f t="shared" si="8"/>
        <v>0</v>
      </c>
      <c r="AE90" s="391">
        <f t="shared" si="8"/>
        <v>0</v>
      </c>
      <c r="AF90" s="391">
        <f t="shared" si="8"/>
        <v>0</v>
      </c>
    </row>
    <row r="91" spans="1:32" x14ac:dyDescent="0.25">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c r="AA91" s="170"/>
      <c r="AB91" s="170"/>
      <c r="AC91" s="170"/>
      <c r="AD91" s="170"/>
      <c r="AE91" s="170"/>
      <c r="AF91" s="170"/>
    </row>
    <row r="92" spans="1:32" x14ac:dyDescent="0.25">
      <c r="B92" s="10" t="s">
        <v>324</v>
      </c>
      <c r="C92" s="391">
        <f>C85-SUM(C87:C90)</f>
        <v>0</v>
      </c>
      <c r="D92" s="391">
        <f>D85-SUM(D87:D90)</f>
        <v>0</v>
      </c>
      <c r="E92" s="391">
        <f t="shared" ref="E92:AF92" si="9">E85-SUM(E87:E90)</f>
        <v>0</v>
      </c>
      <c r="F92" s="391">
        <f t="shared" si="9"/>
        <v>0</v>
      </c>
      <c r="G92" s="391">
        <f t="shared" si="9"/>
        <v>0</v>
      </c>
      <c r="H92" s="391">
        <f t="shared" si="9"/>
        <v>0</v>
      </c>
      <c r="I92" s="391">
        <f t="shared" si="9"/>
        <v>0</v>
      </c>
      <c r="J92" s="391">
        <f t="shared" si="9"/>
        <v>0</v>
      </c>
      <c r="K92" s="391">
        <f t="shared" si="9"/>
        <v>0</v>
      </c>
      <c r="L92" s="391">
        <f t="shared" si="9"/>
        <v>0</v>
      </c>
      <c r="M92" s="391">
        <f t="shared" si="9"/>
        <v>0</v>
      </c>
      <c r="N92" s="391">
        <f t="shared" si="9"/>
        <v>0</v>
      </c>
      <c r="O92" s="391">
        <f t="shared" si="9"/>
        <v>0</v>
      </c>
      <c r="P92" s="391">
        <f t="shared" si="9"/>
        <v>0</v>
      </c>
      <c r="Q92" s="391">
        <f t="shared" si="9"/>
        <v>0</v>
      </c>
      <c r="R92" s="391">
        <f t="shared" si="9"/>
        <v>0</v>
      </c>
      <c r="S92" s="391">
        <f t="shared" si="9"/>
        <v>0</v>
      </c>
      <c r="T92" s="391">
        <f t="shared" si="9"/>
        <v>0</v>
      </c>
      <c r="U92" s="391">
        <f t="shared" si="9"/>
        <v>0</v>
      </c>
      <c r="V92" s="391">
        <f t="shared" si="9"/>
        <v>0</v>
      </c>
      <c r="W92" s="391">
        <f t="shared" si="9"/>
        <v>0</v>
      </c>
      <c r="X92" s="391">
        <f t="shared" si="9"/>
        <v>0</v>
      </c>
      <c r="Y92" s="391">
        <f t="shared" si="9"/>
        <v>0</v>
      </c>
      <c r="Z92" s="391">
        <f t="shared" si="9"/>
        <v>0</v>
      </c>
      <c r="AA92" s="391">
        <f t="shared" si="9"/>
        <v>0</v>
      </c>
      <c r="AB92" s="391">
        <f t="shared" si="9"/>
        <v>0</v>
      </c>
      <c r="AC92" s="391">
        <f t="shared" si="9"/>
        <v>0</v>
      </c>
      <c r="AD92" s="391">
        <f t="shared" si="9"/>
        <v>0</v>
      </c>
      <c r="AE92" s="391">
        <f t="shared" si="9"/>
        <v>0</v>
      </c>
      <c r="AF92" s="391">
        <f t="shared" si="9"/>
        <v>0</v>
      </c>
    </row>
    <row r="94" spans="1:32" x14ac:dyDescent="0.25">
      <c r="A94" s="5" t="s">
        <v>905</v>
      </c>
      <c r="B94" s="10" t="str">
        <f>K23</f>
        <v>N/A</v>
      </c>
      <c r="C94" s="677">
        <f>L23</f>
        <v>0</v>
      </c>
      <c r="D94" s="677">
        <f>$C$94</f>
        <v>0</v>
      </c>
      <c r="E94" s="677">
        <f t="shared" ref="E94:AF94" si="10">$C$94</f>
        <v>0</v>
      </c>
      <c r="F94" s="677">
        <f t="shared" si="10"/>
        <v>0</v>
      </c>
      <c r="G94" s="677">
        <f t="shared" si="10"/>
        <v>0</v>
      </c>
      <c r="H94" s="677">
        <f t="shared" si="10"/>
        <v>0</v>
      </c>
      <c r="I94" s="677">
        <f t="shared" si="10"/>
        <v>0</v>
      </c>
      <c r="J94" s="677">
        <f t="shared" si="10"/>
        <v>0</v>
      </c>
      <c r="K94" s="677">
        <f t="shared" si="10"/>
        <v>0</v>
      </c>
      <c r="L94" s="677">
        <f t="shared" si="10"/>
        <v>0</v>
      </c>
      <c r="M94" s="677">
        <f t="shared" si="10"/>
        <v>0</v>
      </c>
      <c r="N94" s="677">
        <f t="shared" si="10"/>
        <v>0</v>
      </c>
      <c r="O94" s="677">
        <f t="shared" si="10"/>
        <v>0</v>
      </c>
      <c r="P94" s="677">
        <f t="shared" si="10"/>
        <v>0</v>
      </c>
      <c r="Q94" s="677">
        <f t="shared" si="10"/>
        <v>0</v>
      </c>
      <c r="R94" s="677">
        <f t="shared" si="10"/>
        <v>0</v>
      </c>
      <c r="S94" s="677">
        <f t="shared" si="10"/>
        <v>0</v>
      </c>
      <c r="T94" s="677">
        <f t="shared" si="10"/>
        <v>0</v>
      </c>
      <c r="U94" s="677">
        <f t="shared" si="10"/>
        <v>0</v>
      </c>
      <c r="V94" s="677">
        <f t="shared" si="10"/>
        <v>0</v>
      </c>
      <c r="W94" s="677">
        <f t="shared" si="10"/>
        <v>0</v>
      </c>
      <c r="X94" s="677">
        <f t="shared" si="10"/>
        <v>0</v>
      </c>
      <c r="Y94" s="677">
        <f t="shared" si="10"/>
        <v>0</v>
      </c>
      <c r="Z94" s="677">
        <f t="shared" si="10"/>
        <v>0</v>
      </c>
      <c r="AA94" s="677">
        <f t="shared" si="10"/>
        <v>0</v>
      </c>
      <c r="AB94" s="677">
        <f t="shared" si="10"/>
        <v>0</v>
      </c>
      <c r="AC94" s="677">
        <f t="shared" si="10"/>
        <v>0</v>
      </c>
      <c r="AD94" s="677">
        <f t="shared" si="10"/>
        <v>0</v>
      </c>
      <c r="AE94" s="677">
        <f t="shared" si="10"/>
        <v>0</v>
      </c>
      <c r="AF94" s="677">
        <f t="shared" si="10"/>
        <v>0</v>
      </c>
    </row>
    <row r="95" spans="1:32" x14ac:dyDescent="0.25">
      <c r="A95" s="5" t="s">
        <v>906</v>
      </c>
      <c r="B95" s="10" t="str">
        <f>K24</f>
        <v>N/A</v>
      </c>
      <c r="C95" s="677">
        <f>L24</f>
        <v>0</v>
      </c>
      <c r="D95" s="677">
        <f>$C$95</f>
        <v>0</v>
      </c>
      <c r="E95" s="677">
        <f t="shared" ref="E95:AF95" si="11">$C$95</f>
        <v>0</v>
      </c>
      <c r="F95" s="677">
        <f t="shared" si="11"/>
        <v>0</v>
      </c>
      <c r="G95" s="677">
        <f t="shared" si="11"/>
        <v>0</v>
      </c>
      <c r="H95" s="677">
        <f t="shared" si="11"/>
        <v>0</v>
      </c>
      <c r="I95" s="677">
        <f t="shared" si="11"/>
        <v>0</v>
      </c>
      <c r="J95" s="677">
        <f t="shared" si="11"/>
        <v>0</v>
      </c>
      <c r="K95" s="677">
        <f t="shared" si="11"/>
        <v>0</v>
      </c>
      <c r="L95" s="677">
        <f t="shared" si="11"/>
        <v>0</v>
      </c>
      <c r="M95" s="677">
        <f t="shared" si="11"/>
        <v>0</v>
      </c>
      <c r="N95" s="677">
        <f t="shared" si="11"/>
        <v>0</v>
      </c>
      <c r="O95" s="677">
        <f t="shared" si="11"/>
        <v>0</v>
      </c>
      <c r="P95" s="677">
        <f t="shared" si="11"/>
        <v>0</v>
      </c>
      <c r="Q95" s="677">
        <f t="shared" si="11"/>
        <v>0</v>
      </c>
      <c r="R95" s="677">
        <f t="shared" si="11"/>
        <v>0</v>
      </c>
      <c r="S95" s="677">
        <f t="shared" si="11"/>
        <v>0</v>
      </c>
      <c r="T95" s="677">
        <f t="shared" si="11"/>
        <v>0</v>
      </c>
      <c r="U95" s="677">
        <f t="shared" si="11"/>
        <v>0</v>
      </c>
      <c r="V95" s="677">
        <f t="shared" si="11"/>
        <v>0</v>
      </c>
      <c r="W95" s="677">
        <f t="shared" si="11"/>
        <v>0</v>
      </c>
      <c r="X95" s="677">
        <f t="shared" si="11"/>
        <v>0</v>
      </c>
      <c r="Y95" s="677">
        <f t="shared" si="11"/>
        <v>0</v>
      </c>
      <c r="Z95" s="677">
        <f t="shared" si="11"/>
        <v>0</v>
      </c>
      <c r="AA95" s="677">
        <f t="shared" si="11"/>
        <v>0</v>
      </c>
      <c r="AB95" s="677">
        <f t="shared" si="11"/>
        <v>0</v>
      </c>
      <c r="AC95" s="677">
        <f t="shared" si="11"/>
        <v>0</v>
      </c>
      <c r="AD95" s="677">
        <f t="shared" si="11"/>
        <v>0</v>
      </c>
      <c r="AE95" s="677">
        <f t="shared" si="11"/>
        <v>0</v>
      </c>
      <c r="AF95" s="677">
        <f t="shared" si="11"/>
        <v>0</v>
      </c>
    </row>
    <row r="96" spans="1:32" x14ac:dyDescent="0.25">
      <c r="B96" s="10" t="str">
        <f t="shared" ref="B96:B101" si="12">K25</f>
        <v>Deferred Developer Fee</v>
      </c>
      <c r="C96" s="677">
        <f t="shared" ref="C96:C101" si="13">IF(L25&gt;0,MAX(IF((C$92-(C$94+C$95))&lt;SUM($L$25:$L$28),IF(((C$92-(C$94+C$95))*$L25/SUM($L$25:$L$28))&lt;$L25,(C$92-(C$94+C$95))*$L25/SUM($L$25:$L$28),$L25),$L25),0),0)</f>
        <v>0</v>
      </c>
      <c r="D96" s="677">
        <f t="shared" ref="D96:AF96" si="14">MAX(IF((D$92-(D$94+D$95))&lt;SUM($L$25:$L$28),IF(((D$92-(D$94+D$95))*$L25/SUM($L$25:$L$28))&lt;$L25,(D$92-(D$94+D$95))*$L25/SUM($L$25:$L$28),$L25),$L25),0)</f>
        <v>0</v>
      </c>
      <c r="E96" s="677">
        <f t="shared" si="14"/>
        <v>0</v>
      </c>
      <c r="F96" s="677">
        <f t="shared" si="14"/>
        <v>0</v>
      </c>
      <c r="G96" s="677">
        <f t="shared" si="14"/>
        <v>0</v>
      </c>
      <c r="H96" s="677">
        <f t="shared" si="14"/>
        <v>0</v>
      </c>
      <c r="I96" s="677">
        <f t="shared" si="14"/>
        <v>0</v>
      </c>
      <c r="J96" s="677">
        <f t="shared" si="14"/>
        <v>0</v>
      </c>
      <c r="K96" s="677">
        <f t="shared" si="14"/>
        <v>0</v>
      </c>
      <c r="L96" s="677">
        <f t="shared" si="14"/>
        <v>0</v>
      </c>
      <c r="M96" s="677">
        <f t="shared" si="14"/>
        <v>0</v>
      </c>
      <c r="N96" s="677">
        <f t="shared" si="14"/>
        <v>0</v>
      </c>
      <c r="O96" s="677">
        <f t="shared" si="14"/>
        <v>0</v>
      </c>
      <c r="P96" s="677">
        <f t="shared" si="14"/>
        <v>0</v>
      </c>
      <c r="Q96" s="677">
        <f t="shared" si="14"/>
        <v>0</v>
      </c>
      <c r="R96" s="677">
        <f t="shared" si="14"/>
        <v>0</v>
      </c>
      <c r="S96" s="677">
        <f t="shared" si="14"/>
        <v>0</v>
      </c>
      <c r="T96" s="677">
        <f t="shared" si="14"/>
        <v>0</v>
      </c>
      <c r="U96" s="677">
        <f t="shared" si="14"/>
        <v>0</v>
      </c>
      <c r="V96" s="677">
        <f t="shared" si="14"/>
        <v>0</v>
      </c>
      <c r="W96" s="677">
        <f t="shared" si="14"/>
        <v>0</v>
      </c>
      <c r="X96" s="677">
        <f t="shared" si="14"/>
        <v>0</v>
      </c>
      <c r="Y96" s="677">
        <f t="shared" si="14"/>
        <v>0</v>
      </c>
      <c r="Z96" s="677">
        <f t="shared" si="14"/>
        <v>0</v>
      </c>
      <c r="AA96" s="677">
        <f t="shared" si="14"/>
        <v>0</v>
      </c>
      <c r="AB96" s="677">
        <f t="shared" si="14"/>
        <v>0</v>
      </c>
      <c r="AC96" s="677">
        <f t="shared" si="14"/>
        <v>0</v>
      </c>
      <c r="AD96" s="677">
        <f t="shared" si="14"/>
        <v>0</v>
      </c>
      <c r="AE96" s="677">
        <f t="shared" si="14"/>
        <v>0</v>
      </c>
      <c r="AF96" s="677">
        <f t="shared" si="14"/>
        <v>0</v>
      </c>
    </row>
    <row r="97" spans="1:32" x14ac:dyDescent="0.25">
      <c r="B97" s="10" t="str">
        <f t="shared" si="12"/>
        <v>N/A</v>
      </c>
      <c r="C97" s="677">
        <f t="shared" si="13"/>
        <v>0</v>
      </c>
      <c r="D97" s="677">
        <f t="shared" ref="D97:AF97" si="15">MAX(IF((D$92-(D$94+D$95))&lt;SUM($L$25:$L$28),IF(((D$92-(D$94+D$95))*$L26/SUM($L$25:$L$28))&lt;$L26,(D$92-(D$94+D$95))*$L26/SUM($L$25:$L$28),$L26),$L26),0)</f>
        <v>0</v>
      </c>
      <c r="E97" s="677">
        <f t="shared" si="15"/>
        <v>0</v>
      </c>
      <c r="F97" s="677">
        <f t="shared" si="15"/>
        <v>0</v>
      </c>
      <c r="G97" s="677">
        <f t="shared" si="15"/>
        <v>0</v>
      </c>
      <c r="H97" s="677">
        <f t="shared" si="15"/>
        <v>0</v>
      </c>
      <c r="I97" s="677">
        <f t="shared" si="15"/>
        <v>0</v>
      </c>
      <c r="J97" s="677">
        <f t="shared" si="15"/>
        <v>0</v>
      </c>
      <c r="K97" s="677">
        <f t="shared" si="15"/>
        <v>0</v>
      </c>
      <c r="L97" s="677">
        <f t="shared" si="15"/>
        <v>0</v>
      </c>
      <c r="M97" s="677">
        <f t="shared" si="15"/>
        <v>0</v>
      </c>
      <c r="N97" s="677">
        <f t="shared" si="15"/>
        <v>0</v>
      </c>
      <c r="O97" s="677">
        <f t="shared" si="15"/>
        <v>0</v>
      </c>
      <c r="P97" s="677">
        <f t="shared" si="15"/>
        <v>0</v>
      </c>
      <c r="Q97" s="677">
        <f t="shared" si="15"/>
        <v>0</v>
      </c>
      <c r="R97" s="677">
        <f t="shared" si="15"/>
        <v>0</v>
      </c>
      <c r="S97" s="677">
        <f t="shared" si="15"/>
        <v>0</v>
      </c>
      <c r="T97" s="677">
        <f t="shared" si="15"/>
        <v>0</v>
      </c>
      <c r="U97" s="677">
        <f t="shared" si="15"/>
        <v>0</v>
      </c>
      <c r="V97" s="677">
        <f t="shared" si="15"/>
        <v>0</v>
      </c>
      <c r="W97" s="677">
        <f t="shared" si="15"/>
        <v>0</v>
      </c>
      <c r="X97" s="677">
        <f t="shared" si="15"/>
        <v>0</v>
      </c>
      <c r="Y97" s="677">
        <f t="shared" si="15"/>
        <v>0</v>
      </c>
      <c r="Z97" s="677">
        <f t="shared" si="15"/>
        <v>0</v>
      </c>
      <c r="AA97" s="677">
        <f t="shared" si="15"/>
        <v>0</v>
      </c>
      <c r="AB97" s="677">
        <f t="shared" si="15"/>
        <v>0</v>
      </c>
      <c r="AC97" s="677">
        <f t="shared" si="15"/>
        <v>0</v>
      </c>
      <c r="AD97" s="677">
        <f t="shared" si="15"/>
        <v>0</v>
      </c>
      <c r="AE97" s="677">
        <f t="shared" si="15"/>
        <v>0</v>
      </c>
      <c r="AF97" s="677">
        <f t="shared" si="15"/>
        <v>0</v>
      </c>
    </row>
    <row r="98" spans="1:32" x14ac:dyDescent="0.25">
      <c r="B98" s="10" t="str">
        <f t="shared" si="12"/>
        <v>N/A</v>
      </c>
      <c r="C98" s="677">
        <f t="shared" si="13"/>
        <v>0</v>
      </c>
      <c r="D98" s="677">
        <f t="shared" ref="D98:AF98" si="16">MAX(IF((D$92-(D$94+D$95))&lt;SUM($L$25:$L$28),IF(((D$92-(D$94+D$95))*$L27/SUM($L$25:$L$28))&lt;$L27,(D$92-(D$94+D$95))*$L27/SUM($L$25:$L$28),$L27),$L27),0)</f>
        <v>0</v>
      </c>
      <c r="E98" s="677">
        <f t="shared" si="16"/>
        <v>0</v>
      </c>
      <c r="F98" s="677">
        <f t="shared" si="16"/>
        <v>0</v>
      </c>
      <c r="G98" s="677">
        <f t="shared" si="16"/>
        <v>0</v>
      </c>
      <c r="H98" s="677">
        <f t="shared" si="16"/>
        <v>0</v>
      </c>
      <c r="I98" s="677">
        <f t="shared" si="16"/>
        <v>0</v>
      </c>
      <c r="J98" s="677">
        <f t="shared" si="16"/>
        <v>0</v>
      </c>
      <c r="K98" s="677">
        <f t="shared" si="16"/>
        <v>0</v>
      </c>
      <c r="L98" s="677">
        <f t="shared" si="16"/>
        <v>0</v>
      </c>
      <c r="M98" s="677">
        <f t="shared" si="16"/>
        <v>0</v>
      </c>
      <c r="N98" s="677">
        <f t="shared" si="16"/>
        <v>0</v>
      </c>
      <c r="O98" s="677">
        <f t="shared" si="16"/>
        <v>0</v>
      </c>
      <c r="P98" s="677">
        <f t="shared" si="16"/>
        <v>0</v>
      </c>
      <c r="Q98" s="677">
        <f t="shared" si="16"/>
        <v>0</v>
      </c>
      <c r="R98" s="677">
        <f t="shared" si="16"/>
        <v>0</v>
      </c>
      <c r="S98" s="677">
        <f t="shared" si="16"/>
        <v>0</v>
      </c>
      <c r="T98" s="677">
        <f t="shared" si="16"/>
        <v>0</v>
      </c>
      <c r="U98" s="677">
        <f t="shared" si="16"/>
        <v>0</v>
      </c>
      <c r="V98" s="677">
        <f t="shared" si="16"/>
        <v>0</v>
      </c>
      <c r="W98" s="677">
        <f t="shared" si="16"/>
        <v>0</v>
      </c>
      <c r="X98" s="677">
        <f t="shared" si="16"/>
        <v>0</v>
      </c>
      <c r="Y98" s="677">
        <f t="shared" si="16"/>
        <v>0</v>
      </c>
      <c r="Z98" s="677">
        <f t="shared" si="16"/>
        <v>0</v>
      </c>
      <c r="AA98" s="677">
        <f t="shared" si="16"/>
        <v>0</v>
      </c>
      <c r="AB98" s="677">
        <f t="shared" si="16"/>
        <v>0</v>
      </c>
      <c r="AC98" s="677">
        <f t="shared" si="16"/>
        <v>0</v>
      </c>
      <c r="AD98" s="677">
        <f t="shared" si="16"/>
        <v>0</v>
      </c>
      <c r="AE98" s="677">
        <f t="shared" si="16"/>
        <v>0</v>
      </c>
      <c r="AF98" s="677">
        <f t="shared" si="16"/>
        <v>0</v>
      </c>
    </row>
    <row r="99" spans="1:32" x14ac:dyDescent="0.25">
      <c r="B99" s="10" t="str">
        <f t="shared" si="12"/>
        <v>N/A</v>
      </c>
      <c r="C99" s="677">
        <f t="shared" si="13"/>
        <v>0</v>
      </c>
      <c r="D99" s="677">
        <f t="shared" ref="D99:AF99" si="17">MAX(IF((D$92-(D$94+D$95))&lt;SUM($L$25:$L$28),IF(((D$92-(D$94+D$95))*$L28/SUM($L$25:$L$28))&lt;$L28,(D$92-(D$94+D$95))*$L28/SUM($L$25:$L$28),$L28),$L28),0)</f>
        <v>0</v>
      </c>
      <c r="E99" s="677">
        <f t="shared" si="17"/>
        <v>0</v>
      </c>
      <c r="F99" s="677">
        <f t="shared" si="17"/>
        <v>0</v>
      </c>
      <c r="G99" s="677">
        <f t="shared" si="17"/>
        <v>0</v>
      </c>
      <c r="H99" s="677">
        <f t="shared" si="17"/>
        <v>0</v>
      </c>
      <c r="I99" s="677">
        <f t="shared" si="17"/>
        <v>0</v>
      </c>
      <c r="J99" s="677">
        <f t="shared" si="17"/>
        <v>0</v>
      </c>
      <c r="K99" s="677">
        <f t="shared" si="17"/>
        <v>0</v>
      </c>
      <c r="L99" s="677">
        <f t="shared" si="17"/>
        <v>0</v>
      </c>
      <c r="M99" s="677">
        <f t="shared" si="17"/>
        <v>0</v>
      </c>
      <c r="N99" s="677">
        <f t="shared" si="17"/>
        <v>0</v>
      </c>
      <c r="O99" s="677">
        <f t="shared" si="17"/>
        <v>0</v>
      </c>
      <c r="P99" s="677">
        <f t="shared" si="17"/>
        <v>0</v>
      </c>
      <c r="Q99" s="677">
        <f t="shared" si="17"/>
        <v>0</v>
      </c>
      <c r="R99" s="677">
        <f t="shared" si="17"/>
        <v>0</v>
      </c>
      <c r="S99" s="677">
        <f t="shared" si="17"/>
        <v>0</v>
      </c>
      <c r="T99" s="677">
        <f t="shared" si="17"/>
        <v>0</v>
      </c>
      <c r="U99" s="677">
        <f t="shared" si="17"/>
        <v>0</v>
      </c>
      <c r="V99" s="677">
        <f t="shared" si="17"/>
        <v>0</v>
      </c>
      <c r="W99" s="677">
        <f t="shared" si="17"/>
        <v>0</v>
      </c>
      <c r="X99" s="677">
        <f t="shared" si="17"/>
        <v>0</v>
      </c>
      <c r="Y99" s="677">
        <f t="shared" si="17"/>
        <v>0</v>
      </c>
      <c r="Z99" s="677">
        <f t="shared" si="17"/>
        <v>0</v>
      </c>
      <c r="AA99" s="677">
        <f t="shared" si="17"/>
        <v>0</v>
      </c>
      <c r="AB99" s="677">
        <f t="shared" si="17"/>
        <v>0</v>
      </c>
      <c r="AC99" s="677">
        <f t="shared" si="17"/>
        <v>0</v>
      </c>
      <c r="AD99" s="677">
        <f t="shared" si="17"/>
        <v>0</v>
      </c>
      <c r="AE99" s="677">
        <f t="shared" si="17"/>
        <v>0</v>
      </c>
      <c r="AF99" s="677">
        <f t="shared" si="17"/>
        <v>0</v>
      </c>
    </row>
    <row r="100" spans="1:32" x14ac:dyDescent="0.25">
      <c r="B100" s="10" t="str">
        <f t="shared" si="12"/>
        <v>N/A</v>
      </c>
      <c r="C100" s="677">
        <f t="shared" si="13"/>
        <v>0</v>
      </c>
      <c r="D100" s="677">
        <f t="shared" ref="D100:AF100" si="18">MAX(IF((D$92-(D$94+D$95))&lt;SUM($L$25:$L$28),IF(((D$92-(D$94+D$95))*$L29/SUM($L$25:$L$28))&lt;$L29,(D$92-(D$94+D$95))*$L29/SUM($L$25:$L$28),$L29),$L29),0)</f>
        <v>0</v>
      </c>
      <c r="E100" s="677">
        <f t="shared" si="18"/>
        <v>0</v>
      </c>
      <c r="F100" s="677">
        <f t="shared" si="18"/>
        <v>0</v>
      </c>
      <c r="G100" s="677">
        <f t="shared" si="18"/>
        <v>0</v>
      </c>
      <c r="H100" s="677">
        <f t="shared" si="18"/>
        <v>0</v>
      </c>
      <c r="I100" s="677">
        <f t="shared" si="18"/>
        <v>0</v>
      </c>
      <c r="J100" s="677">
        <f t="shared" si="18"/>
        <v>0</v>
      </c>
      <c r="K100" s="677">
        <f t="shared" si="18"/>
        <v>0</v>
      </c>
      <c r="L100" s="677">
        <f t="shared" si="18"/>
        <v>0</v>
      </c>
      <c r="M100" s="677">
        <f t="shared" si="18"/>
        <v>0</v>
      </c>
      <c r="N100" s="677">
        <f t="shared" si="18"/>
        <v>0</v>
      </c>
      <c r="O100" s="677">
        <f t="shared" si="18"/>
        <v>0</v>
      </c>
      <c r="P100" s="677">
        <f t="shared" si="18"/>
        <v>0</v>
      </c>
      <c r="Q100" s="677">
        <f t="shared" si="18"/>
        <v>0</v>
      </c>
      <c r="R100" s="677">
        <f t="shared" si="18"/>
        <v>0</v>
      </c>
      <c r="S100" s="677">
        <f t="shared" si="18"/>
        <v>0</v>
      </c>
      <c r="T100" s="677">
        <f t="shared" si="18"/>
        <v>0</v>
      </c>
      <c r="U100" s="677">
        <f t="shared" si="18"/>
        <v>0</v>
      </c>
      <c r="V100" s="677">
        <f t="shared" si="18"/>
        <v>0</v>
      </c>
      <c r="W100" s="677">
        <f t="shared" si="18"/>
        <v>0</v>
      </c>
      <c r="X100" s="677">
        <f t="shared" si="18"/>
        <v>0</v>
      </c>
      <c r="Y100" s="677">
        <f t="shared" si="18"/>
        <v>0</v>
      </c>
      <c r="Z100" s="677">
        <f t="shared" si="18"/>
        <v>0</v>
      </c>
      <c r="AA100" s="677">
        <f t="shared" si="18"/>
        <v>0</v>
      </c>
      <c r="AB100" s="677">
        <f t="shared" si="18"/>
        <v>0</v>
      </c>
      <c r="AC100" s="677">
        <f t="shared" si="18"/>
        <v>0</v>
      </c>
      <c r="AD100" s="677">
        <f t="shared" si="18"/>
        <v>0</v>
      </c>
      <c r="AE100" s="677">
        <f t="shared" si="18"/>
        <v>0</v>
      </c>
      <c r="AF100" s="677">
        <f t="shared" si="18"/>
        <v>0</v>
      </c>
    </row>
    <row r="101" spans="1:32" x14ac:dyDescent="0.25">
      <c r="B101" s="10" t="str">
        <f t="shared" si="12"/>
        <v>N/A</v>
      </c>
      <c r="C101" s="677">
        <f t="shared" si="13"/>
        <v>0</v>
      </c>
      <c r="D101" s="677">
        <f t="shared" ref="D101:AF101" si="19">MAX(IF((D$92-(D$94+D$95))&lt;SUM($L$25:$L$28),IF(((D$92-(D$94+D$95))*$L30/SUM($L$25:$L$28))&lt;$L30,(D$92-(D$94+D$95))*$L30/SUM($L$25:$L$28),$L30),$L30),0)</f>
        <v>0</v>
      </c>
      <c r="E101" s="677">
        <f t="shared" si="19"/>
        <v>0</v>
      </c>
      <c r="F101" s="677">
        <f t="shared" si="19"/>
        <v>0</v>
      </c>
      <c r="G101" s="677">
        <f t="shared" si="19"/>
        <v>0</v>
      </c>
      <c r="H101" s="677">
        <f t="shared" si="19"/>
        <v>0</v>
      </c>
      <c r="I101" s="677">
        <f t="shared" si="19"/>
        <v>0</v>
      </c>
      <c r="J101" s="677">
        <f t="shared" si="19"/>
        <v>0</v>
      </c>
      <c r="K101" s="677">
        <f t="shared" si="19"/>
        <v>0</v>
      </c>
      <c r="L101" s="677">
        <f t="shared" si="19"/>
        <v>0</v>
      </c>
      <c r="M101" s="677">
        <f t="shared" si="19"/>
        <v>0</v>
      </c>
      <c r="N101" s="677">
        <f t="shared" si="19"/>
        <v>0</v>
      </c>
      <c r="O101" s="677">
        <f t="shared" si="19"/>
        <v>0</v>
      </c>
      <c r="P101" s="677">
        <f t="shared" si="19"/>
        <v>0</v>
      </c>
      <c r="Q101" s="677">
        <f t="shared" si="19"/>
        <v>0</v>
      </c>
      <c r="R101" s="677">
        <f t="shared" si="19"/>
        <v>0</v>
      </c>
      <c r="S101" s="677">
        <f t="shared" si="19"/>
        <v>0</v>
      </c>
      <c r="T101" s="677">
        <f t="shared" si="19"/>
        <v>0</v>
      </c>
      <c r="U101" s="677">
        <f t="shared" si="19"/>
        <v>0</v>
      </c>
      <c r="V101" s="677">
        <f t="shared" si="19"/>
        <v>0</v>
      </c>
      <c r="W101" s="677">
        <f t="shared" si="19"/>
        <v>0</v>
      </c>
      <c r="X101" s="677">
        <f t="shared" si="19"/>
        <v>0</v>
      </c>
      <c r="Y101" s="677">
        <f t="shared" si="19"/>
        <v>0</v>
      </c>
      <c r="Z101" s="677">
        <f t="shared" si="19"/>
        <v>0</v>
      </c>
      <c r="AA101" s="677">
        <f t="shared" si="19"/>
        <v>0</v>
      </c>
      <c r="AB101" s="677">
        <f t="shared" si="19"/>
        <v>0</v>
      </c>
      <c r="AC101" s="677">
        <f t="shared" si="19"/>
        <v>0</v>
      </c>
      <c r="AD101" s="677">
        <f t="shared" si="19"/>
        <v>0</v>
      </c>
      <c r="AE101" s="677">
        <f t="shared" si="19"/>
        <v>0</v>
      </c>
      <c r="AF101" s="677">
        <f t="shared" si="19"/>
        <v>0</v>
      </c>
    </row>
    <row r="102" spans="1:32" x14ac:dyDescent="0.25">
      <c r="B102" s="10" t="s">
        <v>1249</v>
      </c>
      <c r="C102" s="677">
        <f t="array" ref="C102:S102">TRANSPOSE('MLP Amortization'!U2:U18)</f>
        <v>0</v>
      </c>
      <c r="D102" s="677">
        <f ca="1"/>
        <v>0</v>
      </c>
      <c r="E102" s="677">
        <f ca="1"/>
        <v>0</v>
      </c>
      <c r="F102" s="677">
        <f ca="1"/>
        <v>0</v>
      </c>
      <c r="G102" s="677">
        <f ca="1"/>
        <v>0</v>
      </c>
      <c r="H102" s="677">
        <f ca="1"/>
        <v>0</v>
      </c>
      <c r="I102" s="677">
        <f ca="1"/>
        <v>0</v>
      </c>
      <c r="J102" s="677">
        <f ca="1"/>
        <v>0</v>
      </c>
      <c r="K102" s="677">
        <f ca="1"/>
        <v>0</v>
      </c>
      <c r="L102" s="677">
        <f ca="1"/>
        <v>0</v>
      </c>
      <c r="M102" s="677">
        <f ca="1"/>
        <v>0</v>
      </c>
      <c r="N102" s="677">
        <f ca="1"/>
        <v>0</v>
      </c>
      <c r="O102" s="677">
        <f ca="1"/>
        <v>0</v>
      </c>
      <c r="P102" s="677">
        <f ca="1"/>
        <v>0</v>
      </c>
      <c r="Q102" s="677">
        <f ca="1"/>
        <v>0</v>
      </c>
      <c r="R102" s="677">
        <f ca="1"/>
        <v>0</v>
      </c>
      <c r="S102" s="677">
        <f ca="1"/>
        <v>0</v>
      </c>
      <c r="T102" s="677">
        <f>MAX(IF((T$92-(T$94+T$95))&lt;SUM($L$25:$L$28),IF(((T$92-(T$94+T$95))*$L31/SUM($L$25:$L$28))&lt;$L31,(T$92-(T$94+T$95))*$L31/SUM($L$25:$L$28),$L31),$L31),0)</f>
        <v>0</v>
      </c>
      <c r="U102" s="677">
        <f>MAX(IF((U$92-(U$94+U$95))&lt;SUM($L$25:$L$28),IF(((U$92-(U$94+U$95))*$L31/SUM($L$25:$L$28))&lt;$L31,(U$92-(U$94+U$95))*$L31/SUM($L$25:$L$28),$L31),$L31),0)</f>
        <v>0</v>
      </c>
      <c r="V102" s="677"/>
      <c r="W102" s="677"/>
      <c r="X102" s="677"/>
      <c r="Y102" s="677"/>
      <c r="Z102" s="677"/>
      <c r="AA102" s="677"/>
      <c r="AB102" s="677"/>
      <c r="AC102" s="677"/>
      <c r="AD102" s="677"/>
      <c r="AE102" s="677"/>
      <c r="AF102" s="677"/>
    </row>
    <row r="104" spans="1:32" x14ac:dyDescent="0.25">
      <c r="B104" s="10" t="s">
        <v>687</v>
      </c>
      <c r="C104" s="390">
        <f t="shared" ref="C104:AF104" si="20">C92-(C94+C95+C102)</f>
        <v>0</v>
      </c>
      <c r="D104" s="390">
        <f t="shared" ca="1" si="20"/>
        <v>0</v>
      </c>
      <c r="E104" s="390">
        <f t="shared" ca="1" si="20"/>
        <v>0</v>
      </c>
      <c r="F104" s="390">
        <f t="shared" ca="1" si="20"/>
        <v>0</v>
      </c>
      <c r="G104" s="390">
        <f t="shared" ca="1" si="20"/>
        <v>0</v>
      </c>
      <c r="H104" s="390">
        <f t="shared" ca="1" si="20"/>
        <v>0</v>
      </c>
      <c r="I104" s="390">
        <f t="shared" ca="1" si="20"/>
        <v>0</v>
      </c>
      <c r="J104" s="390">
        <f t="shared" ca="1" si="20"/>
        <v>0</v>
      </c>
      <c r="K104" s="390">
        <f t="shared" ca="1" si="20"/>
        <v>0</v>
      </c>
      <c r="L104" s="390">
        <f t="shared" ca="1" si="20"/>
        <v>0</v>
      </c>
      <c r="M104" s="390">
        <f t="shared" ca="1" si="20"/>
        <v>0</v>
      </c>
      <c r="N104" s="390">
        <f t="shared" ca="1" si="20"/>
        <v>0</v>
      </c>
      <c r="O104" s="390">
        <f t="shared" ca="1" si="20"/>
        <v>0</v>
      </c>
      <c r="P104" s="390">
        <f t="shared" ca="1" si="20"/>
        <v>0</v>
      </c>
      <c r="Q104" s="390">
        <f t="shared" ca="1" si="20"/>
        <v>0</v>
      </c>
      <c r="R104" s="390">
        <f t="shared" ca="1" si="20"/>
        <v>0</v>
      </c>
      <c r="S104" s="390">
        <f t="shared" ca="1" si="20"/>
        <v>0</v>
      </c>
      <c r="T104" s="390">
        <f t="shared" si="20"/>
        <v>0</v>
      </c>
      <c r="U104" s="390">
        <f t="shared" si="20"/>
        <v>0</v>
      </c>
      <c r="V104" s="390">
        <f t="shared" si="20"/>
        <v>0</v>
      </c>
      <c r="W104" s="390">
        <f t="shared" si="20"/>
        <v>0</v>
      </c>
      <c r="X104" s="390">
        <f t="shared" si="20"/>
        <v>0</v>
      </c>
      <c r="Y104" s="390">
        <f t="shared" si="20"/>
        <v>0</v>
      </c>
      <c r="Z104" s="390">
        <f t="shared" si="20"/>
        <v>0</v>
      </c>
      <c r="AA104" s="390">
        <f t="shared" si="20"/>
        <v>0</v>
      </c>
      <c r="AB104" s="390">
        <f t="shared" si="20"/>
        <v>0</v>
      </c>
      <c r="AC104" s="390">
        <f t="shared" si="20"/>
        <v>0</v>
      </c>
      <c r="AD104" s="390">
        <f t="shared" si="20"/>
        <v>0</v>
      </c>
      <c r="AE104" s="390">
        <f t="shared" si="20"/>
        <v>0</v>
      </c>
      <c r="AF104" s="390">
        <f t="shared" si="20"/>
        <v>0</v>
      </c>
    </row>
    <row r="105" spans="1:32" x14ac:dyDescent="0.25">
      <c r="B105" s="10" t="s">
        <v>688</v>
      </c>
      <c r="C105" s="171">
        <f t="shared" ref="C105:AF105" si="21">IF((C94+C95+C102)&gt;0,C92/(C94+C95+C102),0)</f>
        <v>0</v>
      </c>
      <c r="D105" s="171">
        <f t="shared" ca="1" si="21"/>
        <v>0</v>
      </c>
      <c r="E105" s="171">
        <f t="shared" ca="1" si="21"/>
        <v>0</v>
      </c>
      <c r="F105" s="171">
        <f t="shared" ca="1" si="21"/>
        <v>0</v>
      </c>
      <c r="G105" s="171">
        <f t="shared" ca="1" si="21"/>
        <v>0</v>
      </c>
      <c r="H105" s="171">
        <f t="shared" ca="1" si="21"/>
        <v>0</v>
      </c>
      <c r="I105" s="171">
        <f t="shared" ca="1" si="21"/>
        <v>0</v>
      </c>
      <c r="J105" s="171">
        <f t="shared" ca="1" si="21"/>
        <v>0</v>
      </c>
      <c r="K105" s="171">
        <f t="shared" ca="1" si="21"/>
        <v>0</v>
      </c>
      <c r="L105" s="171">
        <f t="shared" ca="1" si="21"/>
        <v>0</v>
      </c>
      <c r="M105" s="171">
        <f t="shared" ca="1" si="21"/>
        <v>0</v>
      </c>
      <c r="N105" s="171">
        <f t="shared" ca="1" si="21"/>
        <v>0</v>
      </c>
      <c r="O105" s="171">
        <f t="shared" ca="1" si="21"/>
        <v>0</v>
      </c>
      <c r="P105" s="171">
        <f t="shared" ca="1" si="21"/>
        <v>0</v>
      </c>
      <c r="Q105" s="171">
        <f t="shared" ca="1" si="21"/>
        <v>0</v>
      </c>
      <c r="R105" s="171">
        <f t="shared" ca="1" si="21"/>
        <v>0</v>
      </c>
      <c r="S105" s="171">
        <f t="shared" ca="1" si="21"/>
        <v>0</v>
      </c>
      <c r="T105" s="171">
        <f t="shared" si="21"/>
        <v>0</v>
      </c>
      <c r="U105" s="171">
        <f t="shared" si="21"/>
        <v>0</v>
      </c>
      <c r="V105" s="171">
        <f t="shared" si="21"/>
        <v>0</v>
      </c>
      <c r="W105" s="171">
        <f t="shared" si="21"/>
        <v>0</v>
      </c>
      <c r="X105" s="171">
        <f t="shared" si="21"/>
        <v>0</v>
      </c>
      <c r="Y105" s="171">
        <f t="shared" si="21"/>
        <v>0</v>
      </c>
      <c r="Z105" s="171">
        <f t="shared" si="21"/>
        <v>0</v>
      </c>
      <c r="AA105" s="171">
        <f t="shared" si="21"/>
        <v>0</v>
      </c>
      <c r="AB105" s="171">
        <f t="shared" si="21"/>
        <v>0</v>
      </c>
      <c r="AC105" s="171">
        <f t="shared" si="21"/>
        <v>0</v>
      </c>
      <c r="AD105" s="171">
        <f t="shared" si="21"/>
        <v>0</v>
      </c>
      <c r="AE105" s="171">
        <f t="shared" si="21"/>
        <v>0</v>
      </c>
      <c r="AF105" s="171">
        <f t="shared" si="21"/>
        <v>0</v>
      </c>
    </row>
    <row r="107" spans="1:32" x14ac:dyDescent="0.25">
      <c r="B107" s="10" t="s">
        <v>689</v>
      </c>
      <c r="C107" s="276">
        <f t="shared" ref="C107:AF107" si="22">C92-SUM(C94:C102)</f>
        <v>0</v>
      </c>
      <c r="D107" s="276">
        <f t="shared" ca="1" si="22"/>
        <v>0</v>
      </c>
      <c r="E107" s="276">
        <f t="shared" ca="1" si="22"/>
        <v>0</v>
      </c>
      <c r="F107" s="276">
        <f t="shared" ca="1" si="22"/>
        <v>0</v>
      </c>
      <c r="G107" s="276">
        <f t="shared" ca="1" si="22"/>
        <v>0</v>
      </c>
      <c r="H107" s="276">
        <f t="shared" ca="1" si="22"/>
        <v>0</v>
      </c>
      <c r="I107" s="276">
        <f t="shared" ca="1" si="22"/>
        <v>0</v>
      </c>
      <c r="J107" s="276">
        <f t="shared" ca="1" si="22"/>
        <v>0</v>
      </c>
      <c r="K107" s="276">
        <f t="shared" ca="1" si="22"/>
        <v>0</v>
      </c>
      <c r="L107" s="276">
        <f t="shared" ca="1" si="22"/>
        <v>0</v>
      </c>
      <c r="M107" s="276">
        <f t="shared" ca="1" si="22"/>
        <v>0</v>
      </c>
      <c r="N107" s="276">
        <f t="shared" ca="1" si="22"/>
        <v>0</v>
      </c>
      <c r="O107" s="276">
        <f t="shared" ca="1" si="22"/>
        <v>0</v>
      </c>
      <c r="P107" s="276">
        <f t="shared" ca="1" si="22"/>
        <v>0</v>
      </c>
      <c r="Q107" s="276">
        <f t="shared" ca="1" si="22"/>
        <v>0</v>
      </c>
      <c r="R107" s="276">
        <f t="shared" ca="1" si="22"/>
        <v>0</v>
      </c>
      <c r="S107" s="276">
        <f t="shared" ca="1" si="22"/>
        <v>0</v>
      </c>
      <c r="T107" s="276">
        <f t="shared" si="22"/>
        <v>0</v>
      </c>
      <c r="U107" s="276">
        <f t="shared" si="22"/>
        <v>0</v>
      </c>
      <c r="V107" s="276">
        <f t="shared" si="22"/>
        <v>0</v>
      </c>
      <c r="W107" s="276">
        <f t="shared" si="22"/>
        <v>0</v>
      </c>
      <c r="X107" s="276">
        <f t="shared" si="22"/>
        <v>0</v>
      </c>
      <c r="Y107" s="276">
        <f t="shared" si="22"/>
        <v>0</v>
      </c>
      <c r="Z107" s="276">
        <f t="shared" si="22"/>
        <v>0</v>
      </c>
      <c r="AA107" s="276">
        <f t="shared" si="22"/>
        <v>0</v>
      </c>
      <c r="AB107" s="276">
        <f t="shared" si="22"/>
        <v>0</v>
      </c>
      <c r="AC107" s="276">
        <f t="shared" si="22"/>
        <v>0</v>
      </c>
      <c r="AD107" s="276">
        <f t="shared" si="22"/>
        <v>0</v>
      </c>
      <c r="AE107" s="276">
        <f t="shared" si="22"/>
        <v>0</v>
      </c>
      <c r="AF107" s="276">
        <f t="shared" si="22"/>
        <v>0</v>
      </c>
    </row>
    <row r="108" spans="1:32" x14ac:dyDescent="0.25">
      <c r="B108" s="10" t="s">
        <v>1142</v>
      </c>
      <c r="C108" s="171" t="e">
        <f t="shared" ref="C108:AF108" si="23">IF((C94+C95+C102)=0,C85/(C87+C90),0)</f>
        <v>#DIV/0!</v>
      </c>
      <c r="D108" s="171" t="e">
        <f t="shared" ca="1" si="23"/>
        <v>#DIV/0!</v>
      </c>
      <c r="E108" s="171" t="e">
        <f t="shared" ca="1" si="23"/>
        <v>#DIV/0!</v>
      </c>
      <c r="F108" s="171" t="e">
        <f t="shared" ca="1" si="23"/>
        <v>#DIV/0!</v>
      </c>
      <c r="G108" s="171" t="e">
        <f t="shared" ca="1" si="23"/>
        <v>#DIV/0!</v>
      </c>
      <c r="H108" s="171" t="e">
        <f t="shared" ca="1" si="23"/>
        <v>#DIV/0!</v>
      </c>
      <c r="I108" s="171" t="e">
        <f t="shared" ca="1" si="23"/>
        <v>#DIV/0!</v>
      </c>
      <c r="J108" s="171" t="e">
        <f t="shared" ca="1" si="23"/>
        <v>#DIV/0!</v>
      </c>
      <c r="K108" s="171" t="e">
        <f t="shared" ca="1" si="23"/>
        <v>#DIV/0!</v>
      </c>
      <c r="L108" s="171" t="e">
        <f t="shared" ca="1" si="23"/>
        <v>#DIV/0!</v>
      </c>
      <c r="M108" s="171" t="e">
        <f t="shared" ca="1" si="23"/>
        <v>#DIV/0!</v>
      </c>
      <c r="N108" s="171" t="e">
        <f t="shared" ca="1" si="23"/>
        <v>#DIV/0!</v>
      </c>
      <c r="O108" s="171" t="e">
        <f t="shared" ca="1" si="23"/>
        <v>#DIV/0!</v>
      </c>
      <c r="P108" s="171" t="e">
        <f t="shared" ca="1" si="23"/>
        <v>#DIV/0!</v>
      </c>
      <c r="Q108" s="171" t="e">
        <f t="shared" ca="1" si="23"/>
        <v>#DIV/0!</v>
      </c>
      <c r="R108" s="171" t="e">
        <f t="shared" ca="1" si="23"/>
        <v>#DIV/0!</v>
      </c>
      <c r="S108" s="171" t="e">
        <f t="shared" ca="1" si="23"/>
        <v>#DIV/0!</v>
      </c>
      <c r="T108" s="171" t="e">
        <f t="shared" si="23"/>
        <v>#DIV/0!</v>
      </c>
      <c r="U108" s="171" t="e">
        <f t="shared" si="23"/>
        <v>#DIV/0!</v>
      </c>
      <c r="V108" s="171" t="e">
        <f t="shared" si="23"/>
        <v>#DIV/0!</v>
      </c>
      <c r="W108" s="171" t="e">
        <f t="shared" si="23"/>
        <v>#DIV/0!</v>
      </c>
      <c r="X108" s="171" t="e">
        <f t="shared" si="23"/>
        <v>#DIV/0!</v>
      </c>
      <c r="Y108" s="171" t="e">
        <f t="shared" si="23"/>
        <v>#DIV/0!</v>
      </c>
      <c r="Z108" s="171" t="e">
        <f t="shared" si="23"/>
        <v>#DIV/0!</v>
      </c>
      <c r="AA108" s="171" t="e">
        <f t="shared" si="23"/>
        <v>#DIV/0!</v>
      </c>
      <c r="AB108" s="171" t="e">
        <f t="shared" si="23"/>
        <v>#DIV/0!</v>
      </c>
      <c r="AC108" s="171" t="e">
        <f t="shared" si="23"/>
        <v>#DIV/0!</v>
      </c>
      <c r="AD108" s="171" t="e">
        <f t="shared" si="23"/>
        <v>#DIV/0!</v>
      </c>
      <c r="AE108" s="171" t="e">
        <f t="shared" si="23"/>
        <v>#DIV/0!</v>
      </c>
      <c r="AF108" s="171" t="e">
        <f t="shared" si="23"/>
        <v>#DIV/0!</v>
      </c>
    </row>
    <row r="110" spans="1:32" hidden="1" x14ac:dyDescent="0.25"/>
    <row r="111" spans="1:32" s="314" customFormat="1" ht="12.75" hidden="1" customHeight="1" x14ac:dyDescent="0.25">
      <c r="A111" s="313"/>
      <c r="B111" s="313"/>
      <c r="C111" s="313"/>
      <c r="D111" s="313"/>
      <c r="E111" s="313"/>
      <c r="F111" s="313"/>
      <c r="G111" s="313"/>
      <c r="H111" s="313"/>
      <c r="I111" s="313"/>
      <c r="J111" s="313"/>
      <c r="K111" s="313"/>
      <c r="L111" s="313"/>
      <c r="M111" s="313"/>
      <c r="N111" s="313"/>
      <c r="O111" s="313"/>
      <c r="P111" s="313"/>
      <c r="Q111" s="313"/>
      <c r="R111"/>
    </row>
    <row r="112" spans="1:32" s="314" customFormat="1" ht="15.75" hidden="1" customHeight="1" x14ac:dyDescent="0.3">
      <c r="A112" s="315"/>
      <c r="B112" s="316" t="s">
        <v>1220</v>
      </c>
      <c r="C112" s="317"/>
      <c r="D112" s="318"/>
      <c r="E112" s="318"/>
      <c r="F112" s="317"/>
      <c r="G112" s="318"/>
      <c r="H112" s="318"/>
      <c r="I112" s="318"/>
      <c r="J112" s="318"/>
      <c r="K112" s="318"/>
      <c r="L112" s="318"/>
      <c r="M112" s="318"/>
      <c r="N112" s="318"/>
      <c r="O112" s="318"/>
      <c r="P112" s="318"/>
      <c r="Q112" s="319"/>
      <c r="R112"/>
    </row>
    <row r="113" spans="1:18" s="314" customFormat="1" ht="15.75" hidden="1" customHeight="1" x14ac:dyDescent="0.3">
      <c r="A113" s="315"/>
      <c r="B113" s="320"/>
      <c r="C113" s="321"/>
      <c r="D113" s="322"/>
      <c r="E113" s="322"/>
      <c r="F113" s="321"/>
      <c r="G113" s="322"/>
      <c r="H113" s="322"/>
      <c r="I113" s="322"/>
      <c r="J113" s="322"/>
      <c r="K113" s="322"/>
      <c r="L113" s="322"/>
      <c r="M113" s="322"/>
      <c r="N113" s="322"/>
      <c r="O113" s="322"/>
      <c r="P113" s="322"/>
      <c r="Q113" s="362"/>
      <c r="R113"/>
    </row>
    <row r="114" spans="1:18" s="314" customFormat="1" hidden="1" x14ac:dyDescent="0.25">
      <c r="A114" s="321"/>
      <c r="B114" s="345" t="s">
        <v>1221</v>
      </c>
      <c r="C114" s="341"/>
      <c r="D114" s="341"/>
      <c r="E114" s="341"/>
      <c r="F114" s="341"/>
      <c r="G114" s="341"/>
      <c r="H114" s="341"/>
      <c r="I114" s="341"/>
      <c r="J114" s="341"/>
      <c r="K114" s="341"/>
      <c r="L114" s="341"/>
      <c r="M114" s="341"/>
      <c r="N114" s="341"/>
      <c r="O114" s="341"/>
      <c r="P114" s="341"/>
      <c r="Q114" s="342"/>
      <c r="R114"/>
    </row>
    <row r="115" spans="1:18" s="314" customFormat="1" hidden="1" x14ac:dyDescent="0.25">
      <c r="A115" s="321"/>
      <c r="B115" s="332" t="s">
        <v>1222</v>
      </c>
      <c r="C115" s="333" t="e">
        <f>IF(C108&gt;0,IF(AND(C108&gt;1.1,C108&lt;1.45),"yes","no"),IF(AND(C105&gt;1.1,C105&lt;1.45),"yes","no"))</f>
        <v>#DIV/0!</v>
      </c>
      <c r="D115" s="333" t="e">
        <f t="shared" ref="D115:Q115" ca="1" si="24">IF(D108&gt;0,IF(AND(D108&gt;1.1,D108&lt;1.45),"yes","no"),IF(AND(D105&gt;1.1,D105&lt;1.45),"yes","no"))</f>
        <v>#DIV/0!</v>
      </c>
      <c r="E115" s="333" t="e">
        <f t="shared" ca="1" si="24"/>
        <v>#DIV/0!</v>
      </c>
      <c r="F115" s="333" t="e">
        <f t="shared" ca="1" si="24"/>
        <v>#DIV/0!</v>
      </c>
      <c r="G115" s="333" t="e">
        <f t="shared" ca="1" si="24"/>
        <v>#DIV/0!</v>
      </c>
      <c r="H115" s="333" t="e">
        <f t="shared" ca="1" si="24"/>
        <v>#DIV/0!</v>
      </c>
      <c r="I115" s="333" t="e">
        <f t="shared" ca="1" si="24"/>
        <v>#DIV/0!</v>
      </c>
      <c r="J115" s="333" t="e">
        <f t="shared" ca="1" si="24"/>
        <v>#DIV/0!</v>
      </c>
      <c r="K115" s="333" t="e">
        <f t="shared" ca="1" si="24"/>
        <v>#DIV/0!</v>
      </c>
      <c r="L115" s="333" t="e">
        <f t="shared" ca="1" si="24"/>
        <v>#DIV/0!</v>
      </c>
      <c r="M115" s="333" t="e">
        <f t="shared" ca="1" si="24"/>
        <v>#DIV/0!</v>
      </c>
      <c r="N115" s="333" t="e">
        <f t="shared" ca="1" si="24"/>
        <v>#DIV/0!</v>
      </c>
      <c r="O115" s="333" t="e">
        <f t="shared" ca="1" si="24"/>
        <v>#DIV/0!</v>
      </c>
      <c r="P115" s="333" t="e">
        <f t="shared" ca="1" si="24"/>
        <v>#DIV/0!</v>
      </c>
      <c r="Q115" s="333" t="e">
        <f t="shared" ca="1" si="24"/>
        <v>#DIV/0!</v>
      </c>
      <c r="R115"/>
    </row>
    <row r="116" spans="1:18" s="314" customFormat="1" hidden="1" x14ac:dyDescent="0.25">
      <c r="A116" s="321"/>
      <c r="B116" s="332"/>
      <c r="C116" s="333"/>
      <c r="D116" s="333"/>
      <c r="E116" s="333"/>
      <c r="F116" s="333"/>
      <c r="G116" s="333"/>
      <c r="H116" s="333"/>
      <c r="I116" s="333"/>
      <c r="J116" s="333"/>
      <c r="K116" s="333"/>
      <c r="L116" s="333"/>
      <c r="M116" s="333"/>
      <c r="N116" s="333"/>
      <c r="O116" s="333"/>
      <c r="P116" s="333"/>
      <c r="Q116" s="333"/>
      <c r="R116"/>
    </row>
    <row r="117" spans="1:18" s="314" customFormat="1" hidden="1" x14ac:dyDescent="0.25">
      <c r="A117" s="321"/>
      <c r="B117" s="345" t="s">
        <v>1223</v>
      </c>
      <c r="C117" s="343"/>
      <c r="D117" s="343"/>
      <c r="E117" s="343"/>
      <c r="F117" s="343"/>
      <c r="G117" s="343"/>
      <c r="H117" s="343"/>
      <c r="I117" s="343"/>
      <c r="J117" s="343"/>
      <c r="K117" s="343"/>
      <c r="L117" s="343"/>
      <c r="M117" s="343"/>
      <c r="N117" s="343"/>
      <c r="O117" s="343"/>
      <c r="P117" s="343"/>
      <c r="Q117" s="344"/>
      <c r="R117"/>
    </row>
    <row r="118" spans="1:18" s="314" customFormat="1" hidden="1" x14ac:dyDescent="0.25">
      <c r="A118" s="321"/>
      <c r="B118" s="334" t="s">
        <v>1224</v>
      </c>
      <c r="C118" s="333" t="str">
        <f t="shared" ref="C118:Q118" si="25">IF(C87&gt;0,IF(((C104/C87)&lt;=0.1),"yes","no"),"n/a")</f>
        <v>n/a</v>
      </c>
      <c r="D118" s="333" t="str">
        <f t="shared" si="25"/>
        <v>n/a</v>
      </c>
      <c r="E118" s="333" t="str">
        <f t="shared" si="25"/>
        <v>n/a</v>
      </c>
      <c r="F118" s="333" t="str">
        <f t="shared" si="25"/>
        <v>n/a</v>
      </c>
      <c r="G118" s="333" t="str">
        <f t="shared" si="25"/>
        <v>n/a</v>
      </c>
      <c r="H118" s="333" t="str">
        <f t="shared" si="25"/>
        <v>n/a</v>
      </c>
      <c r="I118" s="333" t="str">
        <f t="shared" si="25"/>
        <v>n/a</v>
      </c>
      <c r="J118" s="333" t="str">
        <f t="shared" si="25"/>
        <v>n/a</v>
      </c>
      <c r="K118" s="333" t="str">
        <f t="shared" si="25"/>
        <v>n/a</v>
      </c>
      <c r="L118" s="333" t="str">
        <f t="shared" si="25"/>
        <v>n/a</v>
      </c>
      <c r="M118" s="333" t="str">
        <f t="shared" si="25"/>
        <v>n/a</v>
      </c>
      <c r="N118" s="333" t="str">
        <f t="shared" si="25"/>
        <v>n/a</v>
      </c>
      <c r="O118" s="333" t="str">
        <f t="shared" si="25"/>
        <v>n/a</v>
      </c>
      <c r="P118" s="333" t="str">
        <f t="shared" si="25"/>
        <v>n/a</v>
      </c>
      <c r="Q118" s="333" t="str">
        <f t="shared" si="25"/>
        <v>n/a</v>
      </c>
      <c r="R118"/>
    </row>
    <row r="119" spans="1:18" s="314" customFormat="1" hidden="1" x14ac:dyDescent="0.25">
      <c r="A119" s="321"/>
      <c r="B119" s="335" t="s">
        <v>1225</v>
      </c>
      <c r="C119" s="336" t="str">
        <f>IF(C94&gt;0,(C92/(C94+C95)),"-")</f>
        <v>-</v>
      </c>
      <c r="D119" s="336" t="str">
        <f t="shared" ref="D119:Q119" si="26">IF(D94&gt;0,(D92/(D94+D95)),"-")</f>
        <v>-</v>
      </c>
      <c r="E119" s="336" t="str">
        <f t="shared" si="26"/>
        <v>-</v>
      </c>
      <c r="F119" s="336" t="str">
        <f t="shared" si="26"/>
        <v>-</v>
      </c>
      <c r="G119" s="336" t="str">
        <f t="shared" si="26"/>
        <v>-</v>
      </c>
      <c r="H119" s="336" t="str">
        <f t="shared" si="26"/>
        <v>-</v>
      </c>
      <c r="I119" s="336" t="str">
        <f t="shared" si="26"/>
        <v>-</v>
      </c>
      <c r="J119" s="336" t="str">
        <f t="shared" si="26"/>
        <v>-</v>
      </c>
      <c r="K119" s="336" t="str">
        <f t="shared" si="26"/>
        <v>-</v>
      </c>
      <c r="L119" s="336" t="str">
        <f t="shared" si="26"/>
        <v>-</v>
      </c>
      <c r="M119" s="336" t="str">
        <f t="shared" si="26"/>
        <v>-</v>
      </c>
      <c r="N119" s="336" t="str">
        <f t="shared" si="26"/>
        <v>-</v>
      </c>
      <c r="O119" s="336" t="str">
        <f t="shared" si="26"/>
        <v>-</v>
      </c>
      <c r="P119" s="336" t="str">
        <f t="shared" si="26"/>
        <v>-</v>
      </c>
      <c r="Q119" s="336" t="str">
        <f t="shared" si="26"/>
        <v>-</v>
      </c>
      <c r="R119"/>
    </row>
    <row r="120" spans="1:18" s="314" customFormat="1" hidden="1" x14ac:dyDescent="0.25">
      <c r="A120" s="321"/>
      <c r="B120" s="335" t="s">
        <v>1226</v>
      </c>
      <c r="C120" s="336" t="e">
        <f>IF(C94&lt;=0,(C92/(C87+C90))+1,"-")</f>
        <v>#DIV/0!</v>
      </c>
      <c r="D120" s="336" t="str">
        <f t="shared" ref="D120:Q120" si="27">IF(D94&lt;0,(D92/(D87+D90))+1,"-")</f>
        <v>-</v>
      </c>
      <c r="E120" s="336" t="str">
        <f t="shared" si="27"/>
        <v>-</v>
      </c>
      <c r="F120" s="336" t="str">
        <f t="shared" si="27"/>
        <v>-</v>
      </c>
      <c r="G120" s="336" t="str">
        <f t="shared" si="27"/>
        <v>-</v>
      </c>
      <c r="H120" s="336" t="str">
        <f t="shared" si="27"/>
        <v>-</v>
      </c>
      <c r="I120" s="336" t="str">
        <f t="shared" si="27"/>
        <v>-</v>
      </c>
      <c r="J120" s="336" t="str">
        <f t="shared" si="27"/>
        <v>-</v>
      </c>
      <c r="K120" s="336" t="str">
        <f t="shared" si="27"/>
        <v>-</v>
      </c>
      <c r="L120" s="336" t="str">
        <f t="shared" si="27"/>
        <v>-</v>
      </c>
      <c r="M120" s="336" t="str">
        <f t="shared" si="27"/>
        <v>-</v>
      </c>
      <c r="N120" s="336" t="str">
        <f t="shared" si="27"/>
        <v>-</v>
      </c>
      <c r="O120" s="336" t="str">
        <f t="shared" si="27"/>
        <v>-</v>
      </c>
      <c r="P120" s="336" t="str">
        <f t="shared" si="27"/>
        <v>-</v>
      </c>
      <c r="Q120" s="336" t="str">
        <f t="shared" si="27"/>
        <v>-</v>
      </c>
      <c r="R120"/>
    </row>
    <row r="121" spans="1:18" s="314" customFormat="1" hidden="1" x14ac:dyDescent="0.25">
      <c r="A121" s="321"/>
      <c r="B121" s="332"/>
      <c r="C121" s="336"/>
      <c r="D121" s="336"/>
      <c r="E121" s="336"/>
      <c r="F121" s="336"/>
      <c r="G121" s="336"/>
      <c r="H121" s="336"/>
      <c r="I121" s="336"/>
      <c r="J121" s="336"/>
      <c r="K121" s="336"/>
      <c r="L121" s="336"/>
      <c r="M121" s="336"/>
      <c r="N121" s="336"/>
      <c r="O121" s="336"/>
      <c r="P121" s="336"/>
      <c r="Q121" s="336"/>
      <c r="R121"/>
    </row>
    <row r="122" spans="1:18" s="314" customFormat="1" ht="14.4" hidden="1" x14ac:dyDescent="0.3">
      <c r="A122" s="321"/>
      <c r="B122" s="346" t="s">
        <v>1227</v>
      </c>
      <c r="C122" s="401">
        <f ca="1">AVERAGE(C105:Q105)</f>
        <v>0</v>
      </c>
      <c r="D122" s="337"/>
      <c r="E122" s="336"/>
      <c r="F122" s="338"/>
      <c r="G122" s="338"/>
      <c r="H122" s="338"/>
      <c r="I122" s="338"/>
      <c r="J122" s="336"/>
      <c r="K122" s="336"/>
      <c r="L122" s="336"/>
      <c r="M122" s="336"/>
      <c r="N122" s="336"/>
      <c r="O122" s="336"/>
      <c r="P122" s="336"/>
      <c r="Q122" s="336"/>
      <c r="R122"/>
    </row>
    <row r="123" spans="1:18" s="314" customFormat="1" hidden="1" x14ac:dyDescent="0.25">
      <c r="A123" s="321"/>
      <c r="B123" s="346" t="s">
        <v>1228</v>
      </c>
      <c r="C123" s="339" t="str">
        <f>IF(SUM(C87:C90)&gt;0,(SUM(C104:Q104))/(SUM(C87:R90))+0,"n/a")</f>
        <v>n/a</v>
      </c>
      <c r="D123" s="340" t="s">
        <v>1229</v>
      </c>
      <c r="E123" s="333"/>
      <c r="F123" s="333"/>
      <c r="G123" s="340"/>
      <c r="H123" s="333"/>
      <c r="I123" s="333"/>
      <c r="J123" s="333"/>
      <c r="K123" s="333"/>
      <c r="L123" s="333"/>
      <c r="M123" s="333"/>
      <c r="N123" s="333"/>
      <c r="O123" s="333"/>
      <c r="P123" s="333"/>
      <c r="Q123" s="333"/>
      <c r="R123"/>
    </row>
    <row r="124" spans="1:18" s="314" customFormat="1" hidden="1" x14ac:dyDescent="0.25">
      <c r="A124" s="321"/>
      <c r="B124" s="323"/>
      <c r="C124" s="317"/>
      <c r="D124" s="317"/>
      <c r="E124" s="317"/>
      <c r="F124" s="317"/>
      <c r="G124" s="317"/>
      <c r="H124" s="317"/>
      <c r="I124" s="317"/>
      <c r="J124" s="317"/>
      <c r="K124" s="317"/>
      <c r="L124" s="321"/>
      <c r="M124" s="321"/>
      <c r="N124" s="321"/>
      <c r="O124" s="321"/>
      <c r="P124" s="321"/>
      <c r="Q124" s="321"/>
      <c r="R124"/>
    </row>
    <row r="125" spans="1:18" s="314" customFormat="1" ht="24" hidden="1" x14ac:dyDescent="0.25">
      <c r="A125" s="324"/>
      <c r="B125" s="325" t="s">
        <v>1230</v>
      </c>
      <c r="C125" s="326"/>
      <c r="D125" s="327" t="s">
        <v>1231</v>
      </c>
      <c r="E125" s="328" t="s">
        <v>1232</v>
      </c>
      <c r="F125" s="328" t="s">
        <v>1233</v>
      </c>
      <c r="G125" s="327" t="s">
        <v>1234</v>
      </c>
      <c r="H125" s="327" t="s">
        <v>1235</v>
      </c>
      <c r="I125" s="321"/>
      <c r="J125" s="321"/>
      <c r="K125" s="321"/>
      <c r="L125" s="321"/>
      <c r="M125" s="321"/>
      <c r="N125" s="321"/>
      <c r="O125"/>
    </row>
    <row r="126" spans="1:18" s="314" customFormat="1" hidden="1" x14ac:dyDescent="0.25">
      <c r="A126" s="321"/>
      <c r="B126" s="347" t="s">
        <v>1236</v>
      </c>
      <c r="C126" s="348" t="s">
        <v>1237</v>
      </c>
      <c r="D126" s="349" t="e">
        <f>'Budget &amp; Costs'!L274/'Budget &amp; Costs'!L324</f>
        <v>#DIV/0!</v>
      </c>
      <c r="E126" s="350">
        <v>0.06</v>
      </c>
      <c r="F126" s="350"/>
      <c r="G126" s="351">
        <v>0.06</v>
      </c>
      <c r="H126" s="351">
        <v>0.06</v>
      </c>
      <c r="I126" s="329"/>
      <c r="J126" s="321"/>
      <c r="K126" s="321"/>
      <c r="L126" s="321"/>
      <c r="M126" s="321"/>
      <c r="N126" s="321"/>
      <c r="O126" s="321"/>
      <c r="P126"/>
    </row>
    <row r="127" spans="1:18" s="314" customFormat="1" hidden="1" x14ac:dyDescent="0.25">
      <c r="A127" s="321"/>
      <c r="B127" s="346" t="s">
        <v>1238</v>
      </c>
      <c r="C127" s="352" t="s">
        <v>927</v>
      </c>
      <c r="D127" s="349" t="e">
        <f>'Budget &amp; Costs'!L284/'Budget &amp; Costs'!L324</f>
        <v>#DIV/0!</v>
      </c>
      <c r="E127" s="353">
        <v>0.02</v>
      </c>
      <c r="F127" s="353"/>
      <c r="G127" s="353">
        <v>0.02</v>
      </c>
      <c r="H127" s="353">
        <v>0.02</v>
      </c>
      <c r="I127" s="330"/>
      <c r="J127" s="321"/>
      <c r="K127" s="321"/>
      <c r="L127" s="321"/>
      <c r="M127" s="321"/>
      <c r="N127" s="321"/>
      <c r="O127" s="321"/>
      <c r="P127"/>
    </row>
    <row r="128" spans="1:18" s="314" customFormat="1" hidden="1" x14ac:dyDescent="0.25">
      <c r="A128" s="321"/>
      <c r="B128" s="346" t="s">
        <v>1239</v>
      </c>
      <c r="C128" s="352" t="s">
        <v>1240</v>
      </c>
      <c r="D128" s="349" t="e">
        <f>'Budget &amp; Costs'!L285/'Budget &amp; Costs'!L324</f>
        <v>#DIV/0!</v>
      </c>
      <c r="E128" s="353">
        <v>0.06</v>
      </c>
      <c r="F128" s="353"/>
      <c r="G128" s="353">
        <v>0.06</v>
      </c>
      <c r="H128" s="353">
        <v>0.06</v>
      </c>
      <c r="I128" s="329"/>
      <c r="J128" s="321"/>
      <c r="K128" s="321"/>
      <c r="L128" s="321"/>
      <c r="M128" s="321"/>
      <c r="N128" s="321"/>
      <c r="O128" s="321"/>
      <c r="P128"/>
    </row>
    <row r="129" spans="1:32" s="314" customFormat="1" hidden="1" x14ac:dyDescent="0.25">
      <c r="A129" s="321"/>
      <c r="B129" s="354" t="s">
        <v>1241</v>
      </c>
      <c r="C129" s="355" t="s">
        <v>854</v>
      </c>
      <c r="D129" s="363" t="e">
        <f>'Budget &amp; Costs'!Q383/('Budget &amp; Costs'!Q405-'Budget &amp; Costs'!Q383)</f>
        <v>#DIV/0!</v>
      </c>
      <c r="E129" s="356">
        <v>0.15</v>
      </c>
      <c r="F129" s="357" t="str">
        <f>IF(SUM('Budget &amp; Costs'!F324:H324)&gt;0,'Budget &amp; Costs'!Q383/SUM('Budget &amp; Costs'!F324:H324),"n/a")</f>
        <v>n/a</v>
      </c>
      <c r="G129" s="358">
        <v>0.12</v>
      </c>
      <c r="H129" s="358" t="s">
        <v>1242</v>
      </c>
      <c r="I129" s="331"/>
      <c r="J129" s="321"/>
      <c r="K129" s="321"/>
      <c r="L129" s="321"/>
      <c r="M129" s="321"/>
      <c r="N129" s="321"/>
      <c r="O129" s="321"/>
      <c r="P129"/>
    </row>
    <row r="130" spans="1:32" s="314" customFormat="1" hidden="1" x14ac:dyDescent="0.25">
      <c r="A130" s="321"/>
      <c r="B130" s="359" t="s">
        <v>1244</v>
      </c>
      <c r="C130" s="321"/>
      <c r="D130" s="321"/>
      <c r="E130" s="321"/>
      <c r="F130" s="321"/>
      <c r="G130" s="321"/>
      <c r="H130" s="321"/>
      <c r="I130" s="321"/>
      <c r="J130" s="321"/>
      <c r="K130" s="321"/>
      <c r="L130" s="321"/>
      <c r="M130" s="321"/>
      <c r="N130" s="321"/>
      <c r="O130" s="321"/>
      <c r="P130" s="321"/>
      <c r="Q130" s="321"/>
      <c r="R130"/>
    </row>
    <row r="131" spans="1:32" s="314" customFormat="1" hidden="1" x14ac:dyDescent="0.25">
      <c r="A131" s="321"/>
      <c r="B131" s="321" t="s">
        <v>1243</v>
      </c>
      <c r="C131" s="321"/>
      <c r="D131" s="321"/>
      <c r="E131" s="321"/>
      <c r="F131" s="321"/>
      <c r="G131" s="321"/>
      <c r="H131" s="321"/>
      <c r="I131" s="321"/>
      <c r="J131" s="321"/>
      <c r="K131" s="321"/>
      <c r="L131" s="321"/>
      <c r="M131" s="321"/>
      <c r="N131" s="321"/>
      <c r="O131" s="321"/>
      <c r="P131" s="321"/>
      <c r="Q131" s="321"/>
      <c r="R131"/>
    </row>
    <row r="132" spans="1:32" s="314" customFormat="1" hidden="1" x14ac:dyDescent="0.25">
      <c r="A132" s="321"/>
      <c r="B132" s="321"/>
      <c r="C132" s="321"/>
      <c r="D132" s="321"/>
      <c r="E132" s="321"/>
      <c r="F132" s="321"/>
      <c r="G132" s="321"/>
      <c r="H132" s="321"/>
      <c r="I132" s="321"/>
      <c r="J132" s="321"/>
      <c r="K132" s="321"/>
      <c r="L132" s="321"/>
      <c r="M132" s="321"/>
      <c r="N132" s="321"/>
      <c r="O132" s="321"/>
      <c r="P132" s="321"/>
      <c r="Q132" s="321"/>
      <c r="R132"/>
    </row>
    <row r="133" spans="1:32" s="361" customFormat="1" x14ac:dyDescent="0.25">
      <c r="A133" s="360"/>
      <c r="B133" s="360"/>
      <c r="C133" s="360"/>
      <c r="D133" s="360"/>
      <c r="E133" s="360"/>
      <c r="F133" s="360"/>
      <c r="G133" s="360"/>
      <c r="H133" s="360"/>
      <c r="I133" s="360"/>
      <c r="J133" s="360"/>
      <c r="K133" s="360"/>
      <c r="L133" s="360"/>
      <c r="M133" s="360"/>
      <c r="N133" s="360"/>
      <c r="O133" s="360"/>
      <c r="P133" s="360"/>
      <c r="Q133" s="360"/>
      <c r="R133" s="5"/>
    </row>
    <row r="134" spans="1:32" s="143" customFormat="1" ht="24.9" customHeight="1" x14ac:dyDescent="0.25">
      <c r="A134" s="465" t="s">
        <v>690</v>
      </c>
      <c r="B134" s="134"/>
      <c r="C134" s="134"/>
      <c r="D134" s="134"/>
      <c r="E134" s="134"/>
      <c r="F134" s="134"/>
      <c r="G134" s="465" t="s">
        <v>1635</v>
      </c>
      <c r="H134" s="134"/>
      <c r="I134" s="134"/>
      <c r="J134" s="134"/>
      <c r="K134" s="134"/>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row>
    <row r="135" spans="1:32" x14ac:dyDescent="0.25">
      <c r="B135" s="15" t="s">
        <v>344</v>
      </c>
      <c r="C135" s="15" t="s">
        <v>348</v>
      </c>
      <c r="D135" s="15" t="s">
        <v>623</v>
      </c>
      <c r="E135" s="15" t="s">
        <v>626</v>
      </c>
      <c r="G135" s="15" t="s">
        <v>1018</v>
      </c>
      <c r="H135" s="15" t="s">
        <v>1019</v>
      </c>
      <c r="I135" s="15" t="s">
        <v>1020</v>
      </c>
      <c r="J135" s="15" t="s">
        <v>1021</v>
      </c>
      <c r="K135" s="218" t="s">
        <v>1034</v>
      </c>
      <c r="AF135" s="138"/>
    </row>
    <row r="136" spans="1:32" x14ac:dyDescent="0.25">
      <c r="B136" s="9" t="str">
        <f>C24</f>
        <v>N/A</v>
      </c>
      <c r="C136" s="276">
        <f>D24</f>
        <v>0</v>
      </c>
      <c r="D136" s="168">
        <f>G24</f>
        <v>0</v>
      </c>
      <c r="E136" s="47" t="e">
        <f>B20</f>
        <v>#DIV/0!</v>
      </c>
      <c r="G136" s="169">
        <f>LIHTCs!C39</f>
        <v>0</v>
      </c>
      <c r="H136" s="169">
        <f>LIHTCs!D39</f>
        <v>0</v>
      </c>
      <c r="I136" s="169">
        <f>LIHTCs!E39</f>
        <v>0</v>
      </c>
      <c r="J136" s="169">
        <f>LIHTCs!C41</f>
        <v>0</v>
      </c>
      <c r="K136" s="169">
        <f>LIHTCs!C45</f>
        <v>0</v>
      </c>
      <c r="AF136" s="138"/>
    </row>
    <row r="137" spans="1:32" x14ac:dyDescent="0.25">
      <c r="B137" s="9" t="str">
        <f t="shared" ref="B137:C142" si="28">C25</f>
        <v>N/A</v>
      </c>
      <c r="C137" s="276">
        <f t="shared" si="28"/>
        <v>0</v>
      </c>
      <c r="D137" s="168">
        <f t="shared" ref="D137:D142" si="29">G25</f>
        <v>0</v>
      </c>
    </row>
    <row r="138" spans="1:32" x14ac:dyDescent="0.25">
      <c r="B138" s="9" t="str">
        <f t="shared" si="28"/>
        <v>N/A</v>
      </c>
      <c r="C138" s="276">
        <f t="shared" si="28"/>
        <v>0</v>
      </c>
      <c r="D138" s="168">
        <f t="shared" si="29"/>
        <v>0</v>
      </c>
      <c r="I138" s="172" t="s">
        <v>357</v>
      </c>
      <c r="J138" s="172" t="s">
        <v>170</v>
      </c>
      <c r="K138" s="172" t="s">
        <v>169</v>
      </c>
    </row>
    <row r="139" spans="1:32" x14ac:dyDescent="0.25">
      <c r="B139" s="9" t="str">
        <f t="shared" si="28"/>
        <v>N/A</v>
      </c>
      <c r="C139" s="276">
        <f t="shared" si="28"/>
        <v>0</v>
      </c>
      <c r="D139" s="168">
        <f t="shared" si="29"/>
        <v>0</v>
      </c>
      <c r="F139" s="830" t="s">
        <v>549</v>
      </c>
      <c r="G139" s="831"/>
      <c r="H139" s="832"/>
      <c r="I139" s="276">
        <f>LIHTCs!C7</f>
        <v>0</v>
      </c>
      <c r="J139" s="276">
        <f>LIHTCs!D7</f>
        <v>0</v>
      </c>
      <c r="K139" s="276">
        <f>LIHTCs!E7</f>
        <v>0</v>
      </c>
    </row>
    <row r="140" spans="1:32" x14ac:dyDescent="0.25">
      <c r="B140" s="9" t="str">
        <f t="shared" si="28"/>
        <v>N/A</v>
      </c>
      <c r="C140" s="276">
        <f t="shared" si="28"/>
        <v>0</v>
      </c>
      <c r="D140" s="168">
        <f t="shared" si="29"/>
        <v>0</v>
      </c>
      <c r="F140" s="830" t="s">
        <v>697</v>
      </c>
      <c r="G140" s="831"/>
      <c r="H140" s="832"/>
      <c r="I140" s="276">
        <f>LIHTCs!C8</f>
        <v>0</v>
      </c>
      <c r="J140" s="276">
        <f>LIHTCs!D8</f>
        <v>0</v>
      </c>
      <c r="K140" s="276">
        <f>LIHTCs!E8</f>
        <v>0</v>
      </c>
    </row>
    <row r="141" spans="1:32" x14ac:dyDescent="0.25">
      <c r="B141" s="9" t="str">
        <f t="shared" si="28"/>
        <v>N/A</v>
      </c>
      <c r="C141" s="276">
        <f t="shared" si="28"/>
        <v>0</v>
      </c>
      <c r="D141" s="168">
        <f t="shared" si="29"/>
        <v>0</v>
      </c>
      <c r="F141" s="830" t="s">
        <v>704</v>
      </c>
      <c r="G141" s="831"/>
      <c r="H141" s="832"/>
      <c r="I141" s="276">
        <f>LIHTCs!C9</f>
        <v>0</v>
      </c>
      <c r="J141" s="276">
        <f>LIHTCs!D9</f>
        <v>0</v>
      </c>
      <c r="K141" s="276">
        <f>LIHTCs!E9</f>
        <v>0</v>
      </c>
    </row>
    <row r="142" spans="1:32" x14ac:dyDescent="0.25">
      <c r="B142" s="9" t="str">
        <f t="shared" si="28"/>
        <v>N/A</v>
      </c>
      <c r="C142" s="276">
        <f t="shared" si="28"/>
        <v>0</v>
      </c>
      <c r="D142" s="168">
        <f t="shared" si="29"/>
        <v>0</v>
      </c>
      <c r="F142" s="830" t="s">
        <v>698</v>
      </c>
      <c r="G142" s="831"/>
      <c r="H142" s="832"/>
      <c r="I142" s="276">
        <f>LIHTCs!C10</f>
        <v>0</v>
      </c>
      <c r="J142" s="276">
        <f>LIHTCs!D10</f>
        <v>0</v>
      </c>
      <c r="K142" s="276">
        <f>LIHTCs!E10</f>
        <v>0</v>
      </c>
    </row>
    <row r="143" spans="1:32" x14ac:dyDescent="0.25">
      <c r="B143" s="9" t="str">
        <f>C31</f>
        <v>N/A</v>
      </c>
      <c r="C143" s="276">
        <f t="shared" ref="C143:C145" si="30">D31</f>
        <v>0</v>
      </c>
      <c r="D143" s="168">
        <f t="shared" ref="D143:D145" si="31">G31</f>
        <v>0</v>
      </c>
      <c r="F143" s="830" t="s">
        <v>559</v>
      </c>
      <c r="G143" s="831"/>
      <c r="H143" s="832"/>
      <c r="I143" s="276">
        <f>LIHTCs!C11</f>
        <v>0</v>
      </c>
      <c r="J143" s="276">
        <f>LIHTCs!D11</f>
        <v>0</v>
      </c>
      <c r="K143" s="276">
        <f>LIHTCs!E11</f>
        <v>0</v>
      </c>
    </row>
    <row r="144" spans="1:32" x14ac:dyDescent="0.25">
      <c r="B144" s="9" t="str">
        <f t="shared" ref="B144:B145" si="32">C32</f>
        <v>N/A</v>
      </c>
      <c r="C144" s="276">
        <f t="shared" si="30"/>
        <v>0</v>
      </c>
      <c r="D144" s="168">
        <f t="shared" si="31"/>
        <v>0</v>
      </c>
      <c r="F144" s="830" t="s">
        <v>699</v>
      </c>
      <c r="G144" s="831"/>
      <c r="H144" s="832"/>
      <c r="I144" s="168">
        <f>LIHTCs!C13</f>
        <v>0</v>
      </c>
      <c r="J144" s="168">
        <f>LIHTCs!D13</f>
        <v>0</v>
      </c>
      <c r="K144" s="168">
        <f>LIHTCs!E13</f>
        <v>0</v>
      </c>
    </row>
    <row r="145" spans="2:11" x14ac:dyDescent="0.25">
      <c r="B145" s="9" t="str">
        <f t="shared" si="32"/>
        <v>N/A</v>
      </c>
      <c r="C145" s="276">
        <f t="shared" si="30"/>
        <v>0</v>
      </c>
      <c r="D145" s="168">
        <f t="shared" si="31"/>
        <v>0</v>
      </c>
    </row>
    <row r="146" spans="2:11" x14ac:dyDescent="0.25">
      <c r="C146" s="285">
        <f>SUM(C136:C145)</f>
        <v>0</v>
      </c>
      <c r="D146" s="173">
        <f>SUM(D136:D145)</f>
        <v>0</v>
      </c>
      <c r="F146" s="830" t="s">
        <v>700</v>
      </c>
      <c r="G146" s="831"/>
      <c r="H146" s="832"/>
      <c r="I146" s="276">
        <f>LIHTCs!C23</f>
        <v>0</v>
      </c>
      <c r="J146" s="276">
        <f>LIHTCs!D23</f>
        <v>0</v>
      </c>
      <c r="K146" s="276">
        <f>LIHTCs!E23</f>
        <v>0</v>
      </c>
    </row>
    <row r="147" spans="2:11" x14ac:dyDescent="0.25">
      <c r="F147" s="830" t="s">
        <v>701</v>
      </c>
      <c r="G147" s="831"/>
      <c r="H147" s="832"/>
      <c r="I147" s="678"/>
      <c r="J147" s="678"/>
      <c r="K147" s="678"/>
    </row>
    <row r="148" spans="2:11" x14ac:dyDescent="0.25">
      <c r="B148" s="10" t="s">
        <v>624</v>
      </c>
      <c r="C148" s="276">
        <f>J23</f>
        <v>0</v>
      </c>
      <c r="F148" s="830" t="s">
        <v>702</v>
      </c>
      <c r="G148" s="831"/>
      <c r="H148" s="832"/>
      <c r="I148" s="276">
        <f>I146-I147</f>
        <v>0</v>
      </c>
      <c r="J148" s="276">
        <f>J146-J147</f>
        <v>0</v>
      </c>
      <c r="K148" s="276">
        <f>K146-K147</f>
        <v>0</v>
      </c>
    </row>
    <row r="149" spans="2:11" x14ac:dyDescent="0.25">
      <c r="B149" s="10" t="s">
        <v>1346</v>
      </c>
      <c r="C149" s="174" t="e">
        <f>C146/C148</f>
        <v>#DIV/0!</v>
      </c>
      <c r="F149" s="830" t="s">
        <v>566</v>
      </c>
      <c r="G149" s="831"/>
      <c r="H149" s="832"/>
      <c r="I149" s="47">
        <f>IF(I139&gt;0,LIHTCs!$C$27,0)</f>
        <v>0</v>
      </c>
      <c r="J149" s="47">
        <f>IF(J139&gt;0,LIHTCs!$C$27,0)</f>
        <v>0</v>
      </c>
      <c r="K149" s="47">
        <f>IF(K139&gt;0,LIHTCs!$C$27,0)</f>
        <v>0</v>
      </c>
    </row>
    <row r="150" spans="2:11" x14ac:dyDescent="0.25">
      <c r="B150" s="10" t="s">
        <v>691</v>
      </c>
      <c r="C150" s="175" t="e">
        <f>1-C149</f>
        <v>#DIV/0!</v>
      </c>
      <c r="F150" s="830" t="s">
        <v>570</v>
      </c>
      <c r="G150" s="831"/>
      <c r="H150" s="832"/>
      <c r="I150" s="168">
        <f>LIHTCs!C31</f>
        <v>0.04</v>
      </c>
      <c r="J150" s="168">
        <f>LIHTCs!D31</f>
        <v>0.04</v>
      </c>
      <c r="K150" s="168">
        <f>LIHTCs!E31</f>
        <v>0.04</v>
      </c>
    </row>
    <row r="151" spans="2:11" x14ac:dyDescent="0.25">
      <c r="F151" s="830" t="s">
        <v>1636</v>
      </c>
      <c r="G151" s="831"/>
      <c r="H151" s="832"/>
      <c r="I151" s="677">
        <f>(I148*I149)*I150</f>
        <v>0</v>
      </c>
      <c r="J151" s="677">
        <f>(J148*J149)*J150</f>
        <v>0</v>
      </c>
      <c r="K151" s="677">
        <f>(K148*K149)*K150</f>
        <v>0</v>
      </c>
    </row>
    <row r="152" spans="2:11" x14ac:dyDescent="0.25">
      <c r="B152" s="10" t="s">
        <v>692</v>
      </c>
      <c r="C152" s="276">
        <f>C148-SUM(C137:C145)</f>
        <v>0</v>
      </c>
      <c r="F152" s="830" t="s">
        <v>703</v>
      </c>
      <c r="G152" s="831"/>
      <c r="H152" s="832"/>
      <c r="I152" s="276">
        <f>LIHTCs!C35</f>
        <v>0</v>
      </c>
      <c r="J152" s="276">
        <f>LIHTCs!D35</f>
        <v>0</v>
      </c>
      <c r="K152" s="276">
        <f>LIHTCs!E35</f>
        <v>0</v>
      </c>
    </row>
    <row r="153" spans="2:11" x14ac:dyDescent="0.25">
      <c r="F153" s="830" t="s">
        <v>1637</v>
      </c>
      <c r="G153" s="831"/>
      <c r="H153" s="832"/>
      <c r="I153" s="677">
        <f>I151-I152</f>
        <v>0</v>
      </c>
      <c r="J153" s="677">
        <f>J151-J152</f>
        <v>0</v>
      </c>
      <c r="K153" s="677">
        <f>K151-K152</f>
        <v>0</v>
      </c>
    </row>
    <row r="154" spans="2:11" x14ac:dyDescent="0.25">
      <c r="B154" s="10" t="s">
        <v>693</v>
      </c>
      <c r="C154" s="276">
        <f>C136-C152</f>
        <v>0</v>
      </c>
      <c r="F154" s="830" t="s">
        <v>1638</v>
      </c>
      <c r="G154" s="831"/>
      <c r="H154" s="832"/>
      <c r="I154" s="276">
        <f>I153+J153+K153</f>
        <v>0</v>
      </c>
    </row>
    <row r="155" spans="2:11" x14ac:dyDescent="0.25">
      <c r="B155" s="10" t="s">
        <v>694</v>
      </c>
      <c r="C155" s="276">
        <f>C154-C136</f>
        <v>0</v>
      </c>
      <c r="F155" s="830" t="s">
        <v>1639</v>
      </c>
      <c r="G155" s="831"/>
      <c r="H155" s="832"/>
      <c r="I155" s="276">
        <f>I154*10</f>
        <v>0</v>
      </c>
    </row>
    <row r="156" spans="2:11" x14ac:dyDescent="0.25">
      <c r="F156" s="830" t="s">
        <v>1033</v>
      </c>
      <c r="G156" s="831"/>
      <c r="H156" s="832"/>
      <c r="I156" s="276">
        <f>I154-J136</f>
        <v>0</v>
      </c>
    </row>
    <row r="157" spans="2:11" x14ac:dyDescent="0.25">
      <c r="B157" s="10" t="s">
        <v>695</v>
      </c>
      <c r="C157" s="30">
        <f>D34-J23</f>
        <v>0</v>
      </c>
    </row>
    <row r="158" spans="2:11" x14ac:dyDescent="0.25">
      <c r="B158" s="10" t="s">
        <v>696</v>
      </c>
      <c r="C158" s="174" t="e">
        <f>C157/C148</f>
        <v>#DIV/0!</v>
      </c>
    </row>
  </sheetData>
  <sheetProtection algorithmName="SHA-512" hashValue="rPNnls4oP3fUp5YVu1fbSQHZvfwirWyK1/BF48U3YhkGyImPcgVlOon743oFT/0xQVDpoN4FO/cab/6v+IIxJA==" saltValue="3hP9wtKHsquynv2sAd4Osg==" spinCount="100000" sheet="1" objects="1" scenarios="1"/>
  <mergeCells count="19">
    <mergeCell ref="F144:H144"/>
    <mergeCell ref="C7:D7"/>
    <mergeCell ref="F139:H139"/>
    <mergeCell ref="F146:H146"/>
    <mergeCell ref="F151:H151"/>
    <mergeCell ref="F150:H150"/>
    <mergeCell ref="F149:H149"/>
    <mergeCell ref="F148:H148"/>
    <mergeCell ref="F147:H147"/>
    <mergeCell ref="F155:H155"/>
    <mergeCell ref="F156:H156"/>
    <mergeCell ref="F154:H154"/>
    <mergeCell ref="F153:H153"/>
    <mergeCell ref="F152:H152"/>
    <mergeCell ref="C6:E6"/>
    <mergeCell ref="F143:H143"/>
    <mergeCell ref="F142:H142"/>
    <mergeCell ref="F141:H141"/>
    <mergeCell ref="F140:H140"/>
  </mergeCells>
  <conditionalFormatting sqref="C105:AF105 C108:AF108">
    <cfRule type="cellIs" dxfId="9" priority="3" operator="lessThan">
      <formula>1</formula>
    </cfRule>
    <cfRule type="cellIs" dxfId="8" priority="4" operator="lessThan">
      <formula>1.2</formula>
    </cfRule>
    <cfRule type="cellIs" dxfId="7" priority="5" operator="greaterThan">
      <formula>1.5</formula>
    </cfRule>
  </conditionalFormatting>
  <dataValidations disablePrompts="1" count="1">
    <dataValidation type="decimal" errorStyle="information" allowBlank="1" showErrorMessage="1" errorTitle="Debt Coverage Ratio" error="The DCR for the first stable year exceeds 1.30.  The HDAP or HDLP amount may be reduced prior to the Housing Credit amount." sqref="C123 C114 D112:D113" xr:uid="{00000000-0002-0000-0600-000000000000}">
      <formula1>0</formula1>
      <formula2>1.3</formula2>
    </dataValidation>
  </dataValidations>
  <pageMargins left="0.7" right="0.7" top="0.75" bottom="0.75" header="0.3" footer="0.3"/>
  <pageSetup scale="34" orientation="portrait" r:id="rId1"/>
  <colBreaks count="1" manualBreakCount="1">
    <brk id="16" max="136" man="1"/>
  </colBreaks>
  <ignoredErrors>
    <ignoredError sqref="D83:AF83 D97:F97" formula="1"/>
    <ignoredError sqref="C16:D16 B20 C108:AF108 C115:Q115 C120 D126:D129 E136 G136:J136 J146:K146 J148:K148 C150 J151:K151 J153:K153 I154:I156 C158 B13:E13" evalError="1"/>
  </ignoredError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266"/>
  <sheetViews>
    <sheetView zoomScale="85" zoomScaleNormal="85" workbookViewId="0">
      <selection activeCell="D1" sqref="D1"/>
    </sheetView>
  </sheetViews>
  <sheetFormatPr defaultColWidth="9" defaultRowHeight="13.8" x14ac:dyDescent="0.25"/>
  <cols>
    <col min="1" max="1" width="6.19921875" style="5" customWidth="1"/>
    <col min="2" max="2" width="3.19921875" style="5" customWidth="1"/>
    <col min="3" max="3" width="28.5" style="5" customWidth="1"/>
    <col min="4" max="4" width="32.59765625" style="48" customWidth="1"/>
    <col min="5" max="5" width="9" style="5"/>
    <col min="6" max="6" width="11.59765625" style="5" customWidth="1"/>
    <col min="7" max="7" width="28.69921875" style="48" customWidth="1"/>
    <col min="8" max="8" width="10.8984375" style="5" customWidth="1"/>
    <col min="9" max="9" width="23.5" style="5" customWidth="1"/>
    <col min="10" max="10" width="25.69921875" style="48" customWidth="1"/>
    <col min="11" max="11" width="6" style="5" customWidth="1"/>
    <col min="12" max="12" width="11.69921875" style="5" customWidth="1"/>
    <col min="13" max="13" width="36.3984375" style="48" customWidth="1"/>
    <col min="14" max="14" width="17" style="138" bestFit="1" customWidth="1"/>
    <col min="15" max="15" width="40" style="138" customWidth="1"/>
    <col min="16" max="16384" width="9" style="138"/>
  </cols>
  <sheetData>
    <row r="1" spans="1:13" ht="54.9" customHeight="1" x14ac:dyDescent="0.25"/>
    <row r="2" spans="1:13" s="139" customFormat="1" ht="23.4" x14ac:dyDescent="0.4">
      <c r="A2" s="3" t="s">
        <v>154</v>
      </c>
      <c r="B2" s="1"/>
      <c r="C2" s="1"/>
      <c r="D2" s="128"/>
      <c r="E2" s="1"/>
      <c r="F2" s="1"/>
      <c r="G2" s="128"/>
      <c r="H2" s="1"/>
      <c r="I2" s="1"/>
      <c r="J2" s="128"/>
      <c r="K2" s="1"/>
      <c r="L2" s="1"/>
      <c r="M2" s="128"/>
    </row>
    <row r="3" spans="1:13" s="140" customFormat="1" ht="15" x14ac:dyDescent="0.25">
      <c r="A3" s="4" t="s">
        <v>1108</v>
      </c>
      <c r="B3" s="2"/>
      <c r="C3" s="35">
        <f>'Project Details'!C7</f>
        <v>0</v>
      </c>
      <c r="D3" s="35"/>
      <c r="E3" s="2"/>
      <c r="F3" s="2"/>
      <c r="G3" s="129"/>
      <c r="H3" s="2"/>
      <c r="I3" s="2"/>
      <c r="J3" s="129"/>
      <c r="K3" s="2"/>
      <c r="L3" s="2"/>
      <c r="M3" s="129"/>
    </row>
    <row r="5" spans="1:13" ht="17.399999999999999" x14ac:dyDescent="0.3">
      <c r="A5" s="6" t="s">
        <v>4895</v>
      </c>
      <c r="I5" s="6" t="s">
        <v>1343</v>
      </c>
    </row>
    <row r="6" spans="1:13" ht="15.6" x14ac:dyDescent="0.3">
      <c r="C6" s="5" t="s">
        <v>4896</v>
      </c>
      <c r="D6" s="110"/>
      <c r="F6" s="130" t="s">
        <v>124</v>
      </c>
      <c r="I6" s="5" t="s">
        <v>142</v>
      </c>
      <c r="J6" s="110"/>
      <c r="L6" s="130" t="s">
        <v>124</v>
      </c>
    </row>
    <row r="7" spans="1:13" x14ac:dyDescent="0.25">
      <c r="C7" s="5" t="s">
        <v>112</v>
      </c>
      <c r="D7" s="110"/>
      <c r="F7" s="5" t="s">
        <v>115</v>
      </c>
      <c r="G7" s="110"/>
      <c r="I7" s="5" t="s">
        <v>112</v>
      </c>
      <c r="J7" s="110"/>
      <c r="L7" s="5" t="s">
        <v>115</v>
      </c>
      <c r="M7" s="110"/>
    </row>
    <row r="8" spans="1:13" x14ac:dyDescent="0.25">
      <c r="C8" s="5" t="s">
        <v>113</v>
      </c>
      <c r="D8" s="110"/>
      <c r="F8" s="5" t="s">
        <v>119</v>
      </c>
      <c r="G8" s="110"/>
      <c r="I8" s="5" t="s">
        <v>113</v>
      </c>
      <c r="J8" s="110"/>
      <c r="L8" s="5" t="s">
        <v>119</v>
      </c>
      <c r="M8" s="110"/>
    </row>
    <row r="9" spans="1:13" x14ac:dyDescent="0.25">
      <c r="C9" s="5" t="s">
        <v>9</v>
      </c>
      <c r="D9" s="110"/>
      <c r="F9" s="5" t="s">
        <v>120</v>
      </c>
      <c r="G9" s="110"/>
      <c r="I9" s="5" t="s">
        <v>9</v>
      </c>
      <c r="J9" s="110"/>
      <c r="L9" s="5" t="s">
        <v>120</v>
      </c>
      <c r="M9" s="110"/>
    </row>
    <row r="10" spans="1:13" x14ac:dyDescent="0.25">
      <c r="C10" s="5" t="s">
        <v>114</v>
      </c>
      <c r="D10" s="110"/>
      <c r="F10" s="5" t="s">
        <v>121</v>
      </c>
      <c r="G10" s="110"/>
      <c r="I10" s="5" t="s">
        <v>114</v>
      </c>
      <c r="J10" s="110"/>
      <c r="L10" s="5" t="s">
        <v>122</v>
      </c>
      <c r="M10" s="110"/>
    </row>
    <row r="11" spans="1:13" x14ac:dyDescent="0.25">
      <c r="C11" s="5" t="s">
        <v>8</v>
      </c>
      <c r="D11" s="107"/>
      <c r="F11" s="5" t="s">
        <v>122</v>
      </c>
      <c r="G11" s="110"/>
      <c r="I11" s="5" t="s">
        <v>8</v>
      </c>
      <c r="J11" s="107"/>
      <c r="L11" s="5" t="s">
        <v>121</v>
      </c>
      <c r="M11" s="110"/>
    </row>
    <row r="12" spans="1:13" x14ac:dyDescent="0.25">
      <c r="C12" s="5" t="s">
        <v>1117</v>
      </c>
      <c r="D12" s="89"/>
      <c r="F12" s="5" t="s">
        <v>123</v>
      </c>
      <c r="G12" s="108"/>
      <c r="I12" s="5" t="s">
        <v>1117</v>
      </c>
      <c r="J12" s="89"/>
      <c r="L12" s="5" t="s">
        <v>123</v>
      </c>
      <c r="M12" s="108"/>
    </row>
    <row r="13" spans="1:13" x14ac:dyDescent="0.25">
      <c r="C13" s="5" t="s">
        <v>117</v>
      </c>
      <c r="D13" s="213"/>
      <c r="F13" s="5" t="s">
        <v>756</v>
      </c>
      <c r="G13" s="108"/>
      <c r="I13" s="5" t="s">
        <v>117</v>
      </c>
      <c r="J13" s="213"/>
      <c r="L13" s="5" t="s">
        <v>756</v>
      </c>
      <c r="M13" s="108"/>
    </row>
    <row r="14" spans="1:13" x14ac:dyDescent="0.25">
      <c r="C14" s="5" t="s">
        <v>126</v>
      </c>
      <c r="D14" s="110"/>
      <c r="F14" s="5" t="s">
        <v>125</v>
      </c>
      <c r="G14" s="110"/>
      <c r="I14" s="5" t="s">
        <v>126</v>
      </c>
      <c r="J14" s="110"/>
      <c r="L14" s="5" t="s">
        <v>125</v>
      </c>
      <c r="M14" s="110"/>
    </row>
    <row r="15" spans="1:13" x14ac:dyDescent="0.25">
      <c r="M15" s="251"/>
    </row>
    <row r="16" spans="1:13" ht="17.399999999999999" x14ac:dyDescent="0.3">
      <c r="A16" s="6" t="s">
        <v>981</v>
      </c>
      <c r="D16" s="5"/>
      <c r="F16" s="130"/>
      <c r="I16" s="34" t="s">
        <v>1096</v>
      </c>
      <c r="J16" s="89"/>
      <c r="M16" s="251"/>
    </row>
    <row r="17" spans="1:13" x14ac:dyDescent="0.25">
      <c r="C17" s="5" t="s">
        <v>980</v>
      </c>
      <c r="D17" s="110"/>
      <c r="J17" s="5"/>
      <c r="M17" s="251"/>
    </row>
    <row r="18" spans="1:13" x14ac:dyDescent="0.25">
      <c r="C18" s="5" t="s">
        <v>122</v>
      </c>
      <c r="D18" s="110"/>
      <c r="J18"/>
      <c r="M18" s="251"/>
    </row>
    <row r="19" spans="1:13" x14ac:dyDescent="0.25">
      <c r="M19" s="251"/>
    </row>
    <row r="20" spans="1:13" ht="17.399999999999999" x14ac:dyDescent="0.3">
      <c r="A20" s="6" t="s">
        <v>1342</v>
      </c>
      <c r="M20" s="251"/>
    </row>
    <row r="21" spans="1:13" ht="15.6" x14ac:dyDescent="0.3">
      <c r="C21" s="5" t="s">
        <v>143</v>
      </c>
      <c r="D21" s="110"/>
      <c r="F21" s="130" t="s">
        <v>124</v>
      </c>
      <c r="M21" s="251"/>
    </row>
    <row r="22" spans="1:13" ht="14.25" customHeight="1" x14ac:dyDescent="0.25">
      <c r="C22" s="5" t="s">
        <v>112</v>
      </c>
      <c r="D22" s="110"/>
      <c r="F22" s="5" t="s">
        <v>119</v>
      </c>
      <c r="G22" s="110"/>
      <c r="J22" s="5"/>
      <c r="M22" s="251"/>
    </row>
    <row r="23" spans="1:13" ht="14.25" customHeight="1" x14ac:dyDescent="0.25">
      <c r="C23" s="5" t="s">
        <v>113</v>
      </c>
      <c r="D23" s="110"/>
      <c r="F23" s="5" t="s">
        <v>120</v>
      </c>
      <c r="G23" s="110"/>
      <c r="J23" s="5"/>
      <c r="M23" s="251"/>
    </row>
    <row r="24" spans="1:13" ht="14.25" customHeight="1" x14ac:dyDescent="0.25">
      <c r="C24" s="5" t="s">
        <v>9</v>
      </c>
      <c r="D24" s="110"/>
      <c r="F24" s="5" t="s">
        <v>121</v>
      </c>
      <c r="G24" s="110"/>
      <c r="J24" s="5"/>
      <c r="M24" s="251"/>
    </row>
    <row r="25" spans="1:13" ht="14.25" customHeight="1" x14ac:dyDescent="0.25">
      <c r="C25" s="5" t="s">
        <v>114</v>
      </c>
      <c r="D25" s="110"/>
      <c r="F25" s="5" t="s">
        <v>123</v>
      </c>
      <c r="G25" s="108"/>
      <c r="J25" s="5"/>
      <c r="M25" s="251"/>
    </row>
    <row r="26" spans="1:13" ht="14.25" customHeight="1" x14ac:dyDescent="0.25">
      <c r="C26" s="5" t="s">
        <v>8</v>
      </c>
      <c r="D26" s="107"/>
      <c r="F26" s="5" t="s">
        <v>756</v>
      </c>
      <c r="G26" s="108"/>
      <c r="J26" s="5"/>
      <c r="M26" s="251"/>
    </row>
    <row r="27" spans="1:13" ht="14.25" customHeight="1" x14ac:dyDescent="0.25">
      <c r="C27" s="5" t="s">
        <v>1117</v>
      </c>
      <c r="D27" s="89"/>
      <c r="F27" s="5" t="s">
        <v>125</v>
      </c>
      <c r="G27" s="110"/>
      <c r="J27" s="5"/>
      <c r="M27" s="251"/>
    </row>
    <row r="28" spans="1:13" ht="14.25" customHeight="1" x14ac:dyDescent="0.25">
      <c r="C28" s="5" t="s">
        <v>117</v>
      </c>
      <c r="D28" s="213"/>
      <c r="J28" s="5"/>
      <c r="M28" s="251"/>
    </row>
    <row r="29" spans="1:13" ht="14.25" customHeight="1" x14ac:dyDescent="0.25">
      <c r="C29" s="5" t="s">
        <v>126</v>
      </c>
      <c r="D29" s="110"/>
      <c r="F29" s="688" t="s">
        <v>1112</v>
      </c>
      <c r="G29" s="89"/>
      <c r="J29" s="5"/>
      <c r="M29" s="251"/>
    </row>
    <row r="30" spans="1:13" ht="15" customHeight="1" x14ac:dyDescent="0.25">
      <c r="F30" s="688"/>
      <c r="J30" s="5"/>
      <c r="M30" s="251"/>
    </row>
    <row r="31" spans="1:13" x14ac:dyDescent="0.25">
      <c r="C31" s="5" t="s">
        <v>140</v>
      </c>
      <c r="D31" s="110"/>
      <c r="F31" s="688"/>
      <c r="M31" s="251"/>
    </row>
    <row r="32" spans="1:13" x14ac:dyDescent="0.25">
      <c r="C32" s="5" t="s">
        <v>141</v>
      </c>
      <c r="D32" s="110"/>
      <c r="F32" s="688"/>
      <c r="M32" s="251"/>
    </row>
    <row r="33" spans="1:13" x14ac:dyDescent="0.25">
      <c r="C33" s="5" t="s">
        <v>1641</v>
      </c>
      <c r="D33" s="110"/>
      <c r="F33" s="688"/>
      <c r="M33" s="251"/>
    </row>
    <row r="34" spans="1:13" x14ac:dyDescent="0.25">
      <c r="M34" s="251"/>
    </row>
    <row r="35" spans="1:13" ht="18.600000000000001" x14ac:dyDescent="0.35">
      <c r="A35" s="6" t="s">
        <v>7909</v>
      </c>
      <c r="I35" s="6" t="s">
        <v>1344</v>
      </c>
      <c r="M35" s="251"/>
    </row>
    <row r="36" spans="1:13" ht="15.6" x14ac:dyDescent="0.3">
      <c r="C36" s="5" t="s">
        <v>1115</v>
      </c>
      <c r="D36" s="110"/>
      <c r="F36" s="130" t="s">
        <v>124</v>
      </c>
      <c r="L36" s="130" t="s">
        <v>599</v>
      </c>
      <c r="M36" s="251"/>
    </row>
    <row r="37" spans="1:13" x14ac:dyDescent="0.25">
      <c r="C37" s="5" t="s">
        <v>112</v>
      </c>
      <c r="D37" s="110"/>
      <c r="F37" s="8" t="s">
        <v>926</v>
      </c>
      <c r="I37" s="5" t="s">
        <v>598</v>
      </c>
      <c r="J37" s="110"/>
      <c r="L37" s="5" t="s">
        <v>119</v>
      </c>
      <c r="M37" s="110"/>
    </row>
    <row r="38" spans="1:13" x14ac:dyDescent="0.25">
      <c r="C38" s="5" t="s">
        <v>113</v>
      </c>
      <c r="D38" s="110"/>
      <c r="F38" s="5" t="s">
        <v>119</v>
      </c>
      <c r="G38" s="110"/>
      <c r="I38" s="5" t="s">
        <v>112</v>
      </c>
      <c r="J38" s="110"/>
      <c r="L38" s="5" t="s">
        <v>120</v>
      </c>
      <c r="M38" s="110"/>
    </row>
    <row r="39" spans="1:13" x14ac:dyDescent="0.25">
      <c r="C39" s="5" t="s">
        <v>9</v>
      </c>
      <c r="D39" s="110"/>
      <c r="F39" s="5" t="s">
        <v>120</v>
      </c>
      <c r="G39" s="110"/>
      <c r="I39" s="5" t="s">
        <v>113</v>
      </c>
      <c r="J39" s="110"/>
      <c r="L39" s="5" t="s">
        <v>121</v>
      </c>
      <c r="M39" s="110"/>
    </row>
    <row r="40" spans="1:13" x14ac:dyDescent="0.25">
      <c r="C40" s="5" t="s">
        <v>114</v>
      </c>
      <c r="D40" s="110"/>
      <c r="F40" s="5" t="s">
        <v>121</v>
      </c>
      <c r="G40" s="110"/>
      <c r="I40" s="5" t="s">
        <v>9</v>
      </c>
      <c r="J40" s="110"/>
      <c r="L40" s="5" t="s">
        <v>123</v>
      </c>
      <c r="M40" s="108"/>
    </row>
    <row r="41" spans="1:13" x14ac:dyDescent="0.25">
      <c r="C41" s="5" t="s">
        <v>8</v>
      </c>
      <c r="D41" s="107"/>
      <c r="F41" s="5" t="s">
        <v>122</v>
      </c>
      <c r="G41" s="110"/>
      <c r="I41" s="5" t="s">
        <v>114</v>
      </c>
      <c r="J41" s="110"/>
      <c r="L41" s="5" t="s">
        <v>125</v>
      </c>
      <c r="M41" s="110"/>
    </row>
    <row r="42" spans="1:13" x14ac:dyDescent="0.25">
      <c r="C42" s="5" t="s">
        <v>117</v>
      </c>
      <c r="D42" s="213"/>
      <c r="F42" s="5" t="s">
        <v>123</v>
      </c>
      <c r="G42" s="108"/>
      <c r="I42" s="5" t="s">
        <v>8</v>
      </c>
      <c r="J42" s="107"/>
      <c r="M42" s="5"/>
    </row>
    <row r="43" spans="1:13" x14ac:dyDescent="0.25">
      <c r="C43" s="5" t="s">
        <v>118</v>
      </c>
      <c r="D43" s="259">
        <v>1</v>
      </c>
      <c r="F43" s="5" t="s">
        <v>125</v>
      </c>
      <c r="G43" s="110"/>
      <c r="I43" s="5" t="s">
        <v>1117</v>
      </c>
      <c r="J43" s="89"/>
    </row>
    <row r="44" spans="1:13" x14ac:dyDescent="0.25">
      <c r="C44" s="5" t="s">
        <v>1117</v>
      </c>
      <c r="D44" s="89"/>
      <c r="F44" s="5" t="s">
        <v>126</v>
      </c>
      <c r="G44" s="110"/>
      <c r="I44" s="5" t="s">
        <v>117</v>
      </c>
      <c r="J44" s="213"/>
    </row>
    <row r="45" spans="1:13" ht="15.6" x14ac:dyDescent="0.3">
      <c r="C45" s="5" t="s">
        <v>1114</v>
      </c>
      <c r="D45" s="89"/>
      <c r="I45" s="5" t="s">
        <v>138</v>
      </c>
      <c r="J45" s="91"/>
      <c r="L45" s="130" t="s">
        <v>894</v>
      </c>
    </row>
    <row r="46" spans="1:13" x14ac:dyDescent="0.25">
      <c r="C46" s="48" t="s">
        <v>1116</v>
      </c>
      <c r="D46" s="110"/>
      <c r="G46" s="5"/>
      <c r="I46" s="5" t="s">
        <v>126</v>
      </c>
      <c r="J46" s="110"/>
      <c r="L46" s="5" t="s">
        <v>600</v>
      </c>
      <c r="M46" s="110"/>
    </row>
    <row r="47" spans="1:13" x14ac:dyDescent="0.25">
      <c r="J47" s="5"/>
      <c r="L47" s="5" t="s">
        <v>121</v>
      </c>
      <c r="M47" s="110"/>
    </row>
    <row r="48" spans="1:13" ht="15.6" x14ac:dyDescent="0.3">
      <c r="C48" s="130" t="s">
        <v>127</v>
      </c>
      <c r="F48" s="130" t="s">
        <v>1119</v>
      </c>
      <c r="M48" s="5"/>
    </row>
    <row r="49" spans="1:7" x14ac:dyDescent="0.25">
      <c r="C49" s="8" t="s">
        <v>925</v>
      </c>
      <c r="F49" s="8" t="s">
        <v>128</v>
      </c>
    </row>
    <row r="50" spans="1:7" x14ac:dyDescent="0.25">
      <c r="C50" s="5" t="s">
        <v>119</v>
      </c>
      <c r="D50" s="110"/>
      <c r="F50" s="5" t="s">
        <v>119</v>
      </c>
      <c r="G50" s="110"/>
    </row>
    <row r="51" spans="1:7" x14ac:dyDescent="0.25">
      <c r="C51" s="5" t="s">
        <v>120</v>
      </c>
      <c r="D51" s="110"/>
      <c r="F51" s="5" t="s">
        <v>120</v>
      </c>
      <c r="G51" s="110"/>
    </row>
    <row r="52" spans="1:7" x14ac:dyDescent="0.25">
      <c r="C52" s="5" t="s">
        <v>121</v>
      </c>
      <c r="D52" s="110"/>
      <c r="F52" s="5" t="s">
        <v>121</v>
      </c>
      <c r="G52" s="110"/>
    </row>
    <row r="53" spans="1:7" x14ac:dyDescent="0.25">
      <c r="C53" s="5" t="s">
        <v>122</v>
      </c>
      <c r="D53" s="110"/>
      <c r="F53" s="5" t="s">
        <v>122</v>
      </c>
      <c r="G53" s="110"/>
    </row>
    <row r="54" spans="1:7" x14ac:dyDescent="0.25">
      <c r="C54" s="5" t="s">
        <v>123</v>
      </c>
      <c r="D54" s="108"/>
      <c r="F54" s="5" t="s">
        <v>123</v>
      </c>
      <c r="G54" s="108"/>
    </row>
    <row r="55" spans="1:7" x14ac:dyDescent="0.25">
      <c r="C55" s="5" t="s">
        <v>125</v>
      </c>
      <c r="D55" s="110"/>
      <c r="F55" s="5" t="s">
        <v>125</v>
      </c>
      <c r="G55" s="110"/>
    </row>
    <row r="56" spans="1:7" x14ac:dyDescent="0.25">
      <c r="D56" s="251"/>
    </row>
    <row r="57" spans="1:7" ht="18.600000000000001" x14ac:dyDescent="0.35">
      <c r="A57" s="680" t="s">
        <v>7914</v>
      </c>
    </row>
    <row r="58" spans="1:7" ht="15.6" x14ac:dyDescent="0.3">
      <c r="B58" s="838" t="s">
        <v>7910</v>
      </c>
      <c r="C58" s="5" t="s">
        <v>7913</v>
      </c>
      <c r="D58" s="110"/>
      <c r="F58" s="130" t="s">
        <v>124</v>
      </c>
    </row>
    <row r="59" spans="1:7" x14ac:dyDescent="0.25">
      <c r="B59" s="839"/>
      <c r="C59" s="5" t="s">
        <v>112</v>
      </c>
      <c r="D59" s="110"/>
      <c r="F59" s="5" t="s">
        <v>119</v>
      </c>
      <c r="G59" s="110"/>
    </row>
    <row r="60" spans="1:7" x14ac:dyDescent="0.25">
      <c r="B60" s="839"/>
      <c r="C60" s="5" t="s">
        <v>113</v>
      </c>
      <c r="D60" s="110"/>
      <c r="F60" s="5" t="s">
        <v>120</v>
      </c>
      <c r="G60" s="110"/>
    </row>
    <row r="61" spans="1:7" x14ac:dyDescent="0.25">
      <c r="B61" s="839"/>
      <c r="C61" s="5" t="s">
        <v>9</v>
      </c>
      <c r="D61" s="110"/>
      <c r="F61" s="5" t="s">
        <v>121</v>
      </c>
      <c r="G61" s="110"/>
    </row>
    <row r="62" spans="1:7" x14ac:dyDescent="0.25">
      <c r="B62" s="839"/>
      <c r="C62" s="5" t="s">
        <v>114</v>
      </c>
      <c r="D62" s="110"/>
      <c r="F62" s="5" t="s">
        <v>122</v>
      </c>
      <c r="G62" s="110"/>
    </row>
    <row r="63" spans="1:7" x14ac:dyDescent="0.25">
      <c r="B63" s="839"/>
      <c r="C63" s="5" t="s">
        <v>8</v>
      </c>
      <c r="D63" s="107"/>
      <c r="F63" s="5" t="s">
        <v>123</v>
      </c>
      <c r="G63" s="108"/>
    </row>
    <row r="64" spans="1:7" x14ac:dyDescent="0.25">
      <c r="B64" s="839"/>
      <c r="C64" s="5" t="s">
        <v>1117</v>
      </c>
      <c r="D64" s="89"/>
      <c r="F64" s="5" t="s">
        <v>125</v>
      </c>
      <c r="G64" s="110"/>
    </row>
    <row r="65" spans="2:7" x14ac:dyDescent="0.25">
      <c r="B65" s="839"/>
      <c r="C65" s="5" t="s">
        <v>116</v>
      </c>
      <c r="D65" s="89"/>
      <c r="F65" s="5" t="s">
        <v>126</v>
      </c>
      <c r="G65" s="110"/>
    </row>
    <row r="66" spans="2:7" x14ac:dyDescent="0.25">
      <c r="B66" s="839"/>
      <c r="C66" s="48" t="s">
        <v>1116</v>
      </c>
      <c r="D66" s="110"/>
      <c r="G66" s="5"/>
    </row>
    <row r="67" spans="2:7" x14ac:dyDescent="0.25">
      <c r="B67" s="839"/>
      <c r="C67" s="5" t="s">
        <v>117</v>
      </c>
      <c r="D67" s="213"/>
      <c r="G67" s="5"/>
    </row>
    <row r="68" spans="2:7" x14ac:dyDescent="0.25">
      <c r="B68" s="839"/>
      <c r="C68" s="5" t="s">
        <v>7915</v>
      </c>
      <c r="D68" s="90"/>
    </row>
    <row r="69" spans="2:7" ht="13.95" customHeight="1" x14ac:dyDescent="0.25">
      <c r="B69" s="840"/>
      <c r="C69" s="5" t="s">
        <v>815</v>
      </c>
      <c r="D69" s="110"/>
    </row>
    <row r="70" spans="2:7" x14ac:dyDescent="0.25">
      <c r="D70" s="251"/>
    </row>
    <row r="71" spans="2:7" ht="15.6" x14ac:dyDescent="0.3">
      <c r="B71" s="841" t="s">
        <v>7921</v>
      </c>
      <c r="C71" s="5" t="s">
        <v>7911</v>
      </c>
      <c r="D71" s="110"/>
      <c r="F71" s="130" t="s">
        <v>124</v>
      </c>
    </row>
    <row r="72" spans="2:7" x14ac:dyDescent="0.25">
      <c r="B72" s="842"/>
      <c r="C72" s="5" t="s">
        <v>112</v>
      </c>
      <c r="D72" s="110"/>
      <c r="F72" s="5" t="s">
        <v>119</v>
      </c>
      <c r="G72" s="110"/>
    </row>
    <row r="73" spans="2:7" x14ac:dyDescent="0.25">
      <c r="B73" s="842"/>
      <c r="C73" s="5" t="s">
        <v>113</v>
      </c>
      <c r="D73" s="110"/>
      <c r="F73" s="5" t="s">
        <v>120</v>
      </c>
      <c r="G73" s="110"/>
    </row>
    <row r="74" spans="2:7" x14ac:dyDescent="0.25">
      <c r="B74" s="842"/>
      <c r="C74" s="5" t="s">
        <v>9</v>
      </c>
      <c r="D74" s="110"/>
      <c r="F74" s="5" t="s">
        <v>121</v>
      </c>
      <c r="G74" s="110"/>
    </row>
    <row r="75" spans="2:7" x14ac:dyDescent="0.25">
      <c r="B75" s="842"/>
      <c r="C75" s="5" t="s">
        <v>114</v>
      </c>
      <c r="D75" s="110"/>
      <c r="F75" s="5" t="s">
        <v>122</v>
      </c>
      <c r="G75" s="110"/>
    </row>
    <row r="76" spans="2:7" x14ac:dyDescent="0.25">
      <c r="B76" s="842"/>
      <c r="C76" s="5" t="s">
        <v>8</v>
      </c>
      <c r="D76" s="107"/>
      <c r="F76" s="5" t="s">
        <v>123</v>
      </c>
      <c r="G76" s="108"/>
    </row>
    <row r="77" spans="2:7" x14ac:dyDescent="0.25">
      <c r="B77" s="842"/>
      <c r="C77" s="5" t="s">
        <v>1117</v>
      </c>
      <c r="D77" s="89"/>
      <c r="F77" s="5" t="s">
        <v>125</v>
      </c>
      <c r="G77" s="110"/>
    </row>
    <row r="78" spans="2:7" x14ac:dyDescent="0.25">
      <c r="B78" s="842"/>
      <c r="C78" s="5" t="s">
        <v>116</v>
      </c>
      <c r="D78" s="89"/>
      <c r="F78" s="5" t="s">
        <v>126</v>
      </c>
      <c r="G78" s="110"/>
    </row>
    <row r="79" spans="2:7" x14ac:dyDescent="0.25">
      <c r="B79" s="842"/>
      <c r="C79" s="48" t="s">
        <v>1116</v>
      </c>
      <c r="D79" s="110"/>
      <c r="G79" s="5"/>
    </row>
    <row r="80" spans="2:7" x14ac:dyDescent="0.25">
      <c r="B80" s="842"/>
      <c r="C80" s="5" t="s">
        <v>117</v>
      </c>
      <c r="D80" s="213"/>
      <c r="G80" s="5"/>
    </row>
    <row r="81" spans="2:7" x14ac:dyDescent="0.25">
      <c r="B81" s="842"/>
      <c r="C81" s="5" t="s">
        <v>7915</v>
      </c>
      <c r="D81" s="90"/>
    </row>
    <row r="82" spans="2:7" x14ac:dyDescent="0.25">
      <c r="B82" s="843"/>
      <c r="C82" s="5" t="s">
        <v>815</v>
      </c>
      <c r="D82" s="110"/>
    </row>
    <row r="83" spans="2:7" x14ac:dyDescent="0.25">
      <c r="D83" s="251"/>
    </row>
    <row r="84" spans="2:7" ht="15.6" customHeight="1" x14ac:dyDescent="0.3">
      <c r="B84" s="841" t="s">
        <v>7922</v>
      </c>
      <c r="C84" s="5" t="s">
        <v>7912</v>
      </c>
      <c r="D84" s="110"/>
      <c r="F84" s="130" t="s">
        <v>124</v>
      </c>
    </row>
    <row r="85" spans="2:7" x14ac:dyDescent="0.25">
      <c r="B85" s="842"/>
      <c r="C85" s="5" t="s">
        <v>112</v>
      </c>
      <c r="D85" s="110"/>
      <c r="F85" s="5" t="s">
        <v>119</v>
      </c>
      <c r="G85" s="110"/>
    </row>
    <row r="86" spans="2:7" x14ac:dyDescent="0.25">
      <c r="B86" s="842"/>
      <c r="C86" s="5" t="s">
        <v>113</v>
      </c>
      <c r="D86" s="110"/>
      <c r="F86" s="5" t="s">
        <v>120</v>
      </c>
      <c r="G86" s="110"/>
    </row>
    <row r="87" spans="2:7" x14ac:dyDescent="0.25">
      <c r="B87" s="842"/>
      <c r="C87" s="5" t="s">
        <v>9</v>
      </c>
      <c r="D87" s="110"/>
      <c r="F87" s="5" t="s">
        <v>121</v>
      </c>
      <c r="G87" s="110"/>
    </row>
    <row r="88" spans="2:7" x14ac:dyDescent="0.25">
      <c r="B88" s="842"/>
      <c r="C88" s="5" t="s">
        <v>114</v>
      </c>
      <c r="D88" s="110"/>
      <c r="F88" s="5" t="s">
        <v>122</v>
      </c>
      <c r="G88" s="110"/>
    </row>
    <row r="89" spans="2:7" x14ac:dyDescent="0.25">
      <c r="B89" s="842"/>
      <c r="C89" s="5" t="s">
        <v>8</v>
      </c>
      <c r="D89" s="107"/>
      <c r="F89" s="5" t="s">
        <v>123</v>
      </c>
      <c r="G89" s="108"/>
    </row>
    <row r="90" spans="2:7" x14ac:dyDescent="0.25">
      <c r="B90" s="842"/>
      <c r="C90" s="5" t="s">
        <v>1117</v>
      </c>
      <c r="D90" s="89"/>
      <c r="F90" s="5" t="s">
        <v>125</v>
      </c>
      <c r="G90" s="110"/>
    </row>
    <row r="91" spans="2:7" x14ac:dyDescent="0.25">
      <c r="B91" s="842"/>
      <c r="C91" s="5" t="s">
        <v>116</v>
      </c>
      <c r="D91" s="89"/>
      <c r="F91" s="5" t="s">
        <v>126</v>
      </c>
      <c r="G91" s="110"/>
    </row>
    <row r="92" spans="2:7" x14ac:dyDescent="0.25">
      <c r="B92" s="842"/>
      <c r="C92" s="48" t="s">
        <v>1116</v>
      </c>
      <c r="D92" s="110"/>
      <c r="G92" s="5"/>
    </row>
    <row r="93" spans="2:7" x14ac:dyDescent="0.25">
      <c r="B93" s="842"/>
      <c r="C93" s="5" t="s">
        <v>117</v>
      </c>
      <c r="D93" s="213"/>
      <c r="G93" s="5"/>
    </row>
    <row r="94" spans="2:7" x14ac:dyDescent="0.25">
      <c r="B94" s="842"/>
      <c r="C94" s="5" t="s">
        <v>7915</v>
      </c>
      <c r="D94" s="90"/>
    </row>
    <row r="95" spans="2:7" x14ac:dyDescent="0.25">
      <c r="B95" s="843"/>
      <c r="C95" s="5" t="s">
        <v>815</v>
      </c>
      <c r="D95" s="110"/>
    </row>
    <row r="96" spans="2:7" x14ac:dyDescent="0.25">
      <c r="B96" s="681"/>
      <c r="D96" s="682"/>
    </row>
    <row r="97" spans="1:7" x14ac:dyDescent="0.25">
      <c r="B97" s="681"/>
      <c r="D97" s="682"/>
    </row>
    <row r="98" spans="1:7" ht="18.600000000000001" x14ac:dyDescent="0.35">
      <c r="A98" s="680" t="s">
        <v>7916</v>
      </c>
    </row>
    <row r="99" spans="1:7" ht="15.6" x14ac:dyDescent="0.3">
      <c r="B99" s="838" t="s">
        <v>7918</v>
      </c>
      <c r="C99" s="5" t="s">
        <v>7917</v>
      </c>
      <c r="D99" s="110"/>
      <c r="F99" s="130" t="s">
        <v>124</v>
      </c>
    </row>
    <row r="100" spans="1:7" x14ac:dyDescent="0.25">
      <c r="B100" s="839"/>
      <c r="C100" s="5" t="s">
        <v>112</v>
      </c>
      <c r="D100" s="110"/>
      <c r="F100" s="5" t="s">
        <v>119</v>
      </c>
      <c r="G100" s="110"/>
    </row>
    <row r="101" spans="1:7" x14ac:dyDescent="0.25">
      <c r="B101" s="839"/>
      <c r="C101" s="5" t="s">
        <v>113</v>
      </c>
      <c r="D101" s="110"/>
      <c r="F101" s="5" t="s">
        <v>120</v>
      </c>
      <c r="G101" s="110"/>
    </row>
    <row r="102" spans="1:7" x14ac:dyDescent="0.25">
      <c r="B102" s="839"/>
      <c r="C102" s="5" t="s">
        <v>9</v>
      </c>
      <c r="D102" s="110"/>
      <c r="F102" s="5" t="s">
        <v>121</v>
      </c>
      <c r="G102" s="110"/>
    </row>
    <row r="103" spans="1:7" x14ac:dyDescent="0.25">
      <c r="B103" s="839"/>
      <c r="C103" s="5" t="s">
        <v>114</v>
      </c>
      <c r="D103" s="110"/>
      <c r="F103" s="5" t="s">
        <v>122</v>
      </c>
      <c r="G103" s="110"/>
    </row>
    <row r="104" spans="1:7" x14ac:dyDescent="0.25">
      <c r="B104" s="839"/>
      <c r="C104" s="5" t="s">
        <v>8</v>
      </c>
      <c r="D104" s="107"/>
      <c r="F104" s="5" t="s">
        <v>123</v>
      </c>
      <c r="G104" s="108"/>
    </row>
    <row r="105" spans="1:7" x14ac:dyDescent="0.25">
      <c r="B105" s="839"/>
      <c r="C105" s="5" t="s">
        <v>1117</v>
      </c>
      <c r="D105" s="89"/>
      <c r="F105" s="5" t="s">
        <v>125</v>
      </c>
      <c r="G105" s="110"/>
    </row>
    <row r="106" spans="1:7" x14ac:dyDescent="0.25">
      <c r="B106" s="839"/>
      <c r="C106" s="5" t="s">
        <v>116</v>
      </c>
      <c r="D106" s="89"/>
      <c r="F106" s="5" t="s">
        <v>126</v>
      </c>
      <c r="G106" s="110"/>
    </row>
    <row r="107" spans="1:7" x14ac:dyDescent="0.25">
      <c r="B107" s="839"/>
      <c r="C107" s="48" t="s">
        <v>1116</v>
      </c>
      <c r="D107" s="110"/>
      <c r="G107" s="5"/>
    </row>
    <row r="108" spans="1:7" x14ac:dyDescent="0.25">
      <c r="B108" s="839"/>
      <c r="C108" s="5" t="s">
        <v>117</v>
      </c>
      <c r="D108" s="213"/>
      <c r="G108" s="5"/>
    </row>
    <row r="109" spans="1:7" x14ac:dyDescent="0.25">
      <c r="B109" s="839"/>
      <c r="C109" s="5" t="s">
        <v>7920</v>
      </c>
      <c r="D109" s="90"/>
    </row>
    <row r="110" spans="1:7" x14ac:dyDescent="0.25">
      <c r="B110" s="840"/>
      <c r="C110" s="5" t="s">
        <v>815</v>
      </c>
      <c r="D110" s="110"/>
    </row>
    <row r="111" spans="1:7" x14ac:dyDescent="0.25">
      <c r="B111" s="681"/>
      <c r="D111" s="682"/>
    </row>
    <row r="112" spans="1:7" ht="15.6" x14ac:dyDescent="0.3">
      <c r="B112" s="838" t="s">
        <v>7919</v>
      </c>
      <c r="C112" s="5" t="s">
        <v>7917</v>
      </c>
      <c r="D112" s="110"/>
      <c r="F112" s="130" t="s">
        <v>124</v>
      </c>
    </row>
    <row r="113" spans="1:7" x14ac:dyDescent="0.25">
      <c r="B113" s="839"/>
      <c r="C113" s="5" t="s">
        <v>112</v>
      </c>
      <c r="D113" s="110"/>
      <c r="F113" s="5" t="s">
        <v>119</v>
      </c>
      <c r="G113" s="110"/>
    </row>
    <row r="114" spans="1:7" x14ac:dyDescent="0.25">
      <c r="B114" s="839"/>
      <c r="C114" s="5" t="s">
        <v>113</v>
      </c>
      <c r="D114" s="110"/>
      <c r="F114" s="5" t="s">
        <v>120</v>
      </c>
      <c r="G114" s="110"/>
    </row>
    <row r="115" spans="1:7" x14ac:dyDescent="0.25">
      <c r="B115" s="839"/>
      <c r="C115" s="5" t="s">
        <v>9</v>
      </c>
      <c r="D115" s="110"/>
      <c r="F115" s="5" t="s">
        <v>121</v>
      </c>
      <c r="G115" s="110"/>
    </row>
    <row r="116" spans="1:7" x14ac:dyDescent="0.25">
      <c r="B116" s="839"/>
      <c r="C116" s="5" t="s">
        <v>114</v>
      </c>
      <c r="D116" s="110"/>
      <c r="F116" s="5" t="s">
        <v>122</v>
      </c>
      <c r="G116" s="110"/>
    </row>
    <row r="117" spans="1:7" x14ac:dyDescent="0.25">
      <c r="B117" s="839"/>
      <c r="C117" s="5" t="s">
        <v>8</v>
      </c>
      <c r="D117" s="107"/>
      <c r="F117" s="5" t="s">
        <v>123</v>
      </c>
      <c r="G117" s="108"/>
    </row>
    <row r="118" spans="1:7" x14ac:dyDescent="0.25">
      <c r="B118" s="839"/>
      <c r="C118" s="5" t="s">
        <v>1117</v>
      </c>
      <c r="D118" s="89"/>
      <c r="F118" s="5" t="s">
        <v>125</v>
      </c>
      <c r="G118" s="110"/>
    </row>
    <row r="119" spans="1:7" x14ac:dyDescent="0.25">
      <c r="B119" s="839"/>
      <c r="C119" s="5" t="s">
        <v>116</v>
      </c>
      <c r="D119" s="89"/>
      <c r="F119" s="5" t="s">
        <v>126</v>
      </c>
      <c r="G119" s="110"/>
    </row>
    <row r="120" spans="1:7" x14ac:dyDescent="0.25">
      <c r="B120" s="839"/>
      <c r="C120" s="48" t="s">
        <v>1116</v>
      </c>
      <c r="D120" s="110"/>
      <c r="G120" s="5"/>
    </row>
    <row r="121" spans="1:7" x14ac:dyDescent="0.25">
      <c r="B121" s="839"/>
      <c r="C121" s="5" t="s">
        <v>117</v>
      </c>
      <c r="D121" s="213"/>
      <c r="G121" s="5"/>
    </row>
    <row r="122" spans="1:7" x14ac:dyDescent="0.25">
      <c r="B122" s="839"/>
      <c r="C122" s="5" t="s">
        <v>7920</v>
      </c>
      <c r="D122" s="90"/>
    </row>
    <row r="123" spans="1:7" x14ac:dyDescent="0.25">
      <c r="B123" s="840"/>
      <c r="C123" s="5" t="s">
        <v>815</v>
      </c>
      <c r="D123" s="110"/>
    </row>
    <row r="124" spans="1:7" x14ac:dyDescent="0.25">
      <c r="B124" s="681"/>
      <c r="D124" s="682"/>
    </row>
    <row r="125" spans="1:7" ht="17.399999999999999" x14ac:dyDescent="0.3">
      <c r="A125" s="6" t="s">
        <v>1338</v>
      </c>
      <c r="F125" s="130" t="s">
        <v>124</v>
      </c>
    </row>
    <row r="126" spans="1:7" x14ac:dyDescent="0.25">
      <c r="C126" s="5" t="s">
        <v>571</v>
      </c>
      <c r="D126" s="110"/>
      <c r="F126" s="5" t="s">
        <v>119</v>
      </c>
      <c r="G126" s="110"/>
    </row>
    <row r="127" spans="1:7" x14ac:dyDescent="0.25">
      <c r="C127" s="5" t="s">
        <v>573</v>
      </c>
      <c r="D127" s="110"/>
      <c r="F127" s="5" t="s">
        <v>120</v>
      </c>
      <c r="G127" s="110"/>
    </row>
    <row r="128" spans="1:7" x14ac:dyDescent="0.25">
      <c r="C128" s="5" t="s">
        <v>572</v>
      </c>
      <c r="D128" s="116"/>
      <c r="F128" s="5" t="s">
        <v>121</v>
      </c>
      <c r="G128" s="110"/>
    </row>
    <row r="129" spans="1:7" x14ac:dyDescent="0.25">
      <c r="C129" s="5" t="s">
        <v>901</v>
      </c>
      <c r="D129" s="89"/>
      <c r="F129" s="5" t="s">
        <v>123</v>
      </c>
      <c r="G129" s="108"/>
    </row>
    <row r="130" spans="1:7" x14ac:dyDescent="0.25">
      <c r="F130" s="5" t="s">
        <v>125</v>
      </c>
      <c r="G130" s="110"/>
    </row>
    <row r="131" spans="1:7" ht="17.399999999999999" x14ac:dyDescent="0.3">
      <c r="A131" s="6" t="s">
        <v>1341</v>
      </c>
    </row>
    <row r="132" spans="1:7" ht="15.6" x14ac:dyDescent="0.3">
      <c r="C132" s="5" t="s">
        <v>136</v>
      </c>
      <c r="D132" s="110"/>
      <c r="F132" s="130" t="s">
        <v>124</v>
      </c>
    </row>
    <row r="133" spans="1:7" x14ac:dyDescent="0.25">
      <c r="C133" s="5" t="s">
        <v>112</v>
      </c>
      <c r="D133" s="110"/>
      <c r="F133" s="5" t="s">
        <v>119</v>
      </c>
      <c r="G133" s="110"/>
    </row>
    <row r="134" spans="1:7" x14ac:dyDescent="0.25">
      <c r="C134" s="5" t="s">
        <v>113</v>
      </c>
      <c r="D134" s="110"/>
      <c r="F134" s="5" t="s">
        <v>120</v>
      </c>
      <c r="G134" s="110"/>
    </row>
    <row r="135" spans="1:7" x14ac:dyDescent="0.25">
      <c r="C135" s="5" t="s">
        <v>9</v>
      </c>
      <c r="D135" s="110"/>
      <c r="F135" s="5" t="s">
        <v>121</v>
      </c>
      <c r="G135" s="110"/>
    </row>
    <row r="136" spans="1:7" x14ac:dyDescent="0.25">
      <c r="C136" s="5" t="s">
        <v>114</v>
      </c>
      <c r="D136" s="110"/>
      <c r="F136" s="5" t="s">
        <v>123</v>
      </c>
      <c r="G136" s="108"/>
    </row>
    <row r="137" spans="1:7" x14ac:dyDescent="0.25">
      <c r="C137" s="5" t="s">
        <v>8</v>
      </c>
      <c r="D137" s="107"/>
      <c r="F137" s="5" t="s">
        <v>125</v>
      </c>
      <c r="G137" s="110"/>
    </row>
    <row r="138" spans="1:7" x14ac:dyDescent="0.25">
      <c r="C138" s="5" t="s">
        <v>117</v>
      </c>
      <c r="D138" s="213"/>
    </row>
    <row r="139" spans="1:7" x14ac:dyDescent="0.25">
      <c r="C139" s="5" t="s">
        <v>126</v>
      </c>
      <c r="D139" s="110"/>
    </row>
    <row r="141" spans="1:7" x14ac:dyDescent="0.25">
      <c r="C141" s="5" t="s">
        <v>129</v>
      </c>
      <c r="D141" s="89"/>
    </row>
    <row r="142" spans="1:7" x14ac:dyDescent="0.25">
      <c r="C142" s="5" t="s">
        <v>130</v>
      </c>
      <c r="D142" s="89"/>
    </row>
    <row r="143" spans="1:7" x14ac:dyDescent="0.25">
      <c r="C143" s="5" t="s">
        <v>1640</v>
      </c>
      <c r="D143" s="89"/>
    </row>
    <row r="144" spans="1:7" ht="14.4" x14ac:dyDescent="0.3">
      <c r="C144" s="5" t="s">
        <v>132</v>
      </c>
      <c r="D144" s="89"/>
    </row>
    <row r="145" spans="2:8" x14ac:dyDescent="0.25">
      <c r="C145" s="5" t="s">
        <v>895</v>
      </c>
      <c r="D145" s="110"/>
    </row>
    <row r="147" spans="2:8" x14ac:dyDescent="0.25">
      <c r="C147" s="5" t="s">
        <v>1173</v>
      </c>
      <c r="G147" s="89"/>
    </row>
    <row r="148" spans="2:8" x14ac:dyDescent="0.25">
      <c r="C148" s="5" t="s">
        <v>1172</v>
      </c>
      <c r="G148" s="110"/>
    </row>
    <row r="149" spans="2:8" x14ac:dyDescent="0.25">
      <c r="C149" s="5" t="s">
        <v>134</v>
      </c>
      <c r="G149" s="89"/>
    </row>
    <row r="150" spans="2:8" x14ac:dyDescent="0.25">
      <c r="C150" s="5" t="s">
        <v>933</v>
      </c>
      <c r="G150" s="89"/>
    </row>
    <row r="152" spans="2:8" ht="15.6" x14ac:dyDescent="0.3">
      <c r="B152" s="131"/>
      <c r="C152" s="131" t="s">
        <v>137</v>
      </c>
      <c r="D152" s="110"/>
      <c r="E152" s="131"/>
      <c r="F152" s="132" t="s">
        <v>124</v>
      </c>
      <c r="G152" s="133"/>
      <c r="H152" s="131"/>
    </row>
    <row r="153" spans="2:8" x14ac:dyDescent="0.25">
      <c r="B153" s="131"/>
      <c r="C153" s="131" t="s">
        <v>112</v>
      </c>
      <c r="D153" s="110"/>
      <c r="E153" s="131"/>
      <c r="F153" s="131" t="s">
        <v>119</v>
      </c>
      <c r="G153" s="110"/>
      <c r="H153" s="131"/>
    </row>
    <row r="154" spans="2:8" x14ac:dyDescent="0.25">
      <c r="B154" s="131"/>
      <c r="C154" s="131" t="s">
        <v>113</v>
      </c>
      <c r="D154" s="110"/>
      <c r="E154" s="131"/>
      <c r="F154" s="131" t="s">
        <v>120</v>
      </c>
      <c r="G154" s="110"/>
      <c r="H154" s="131"/>
    </row>
    <row r="155" spans="2:8" x14ac:dyDescent="0.25">
      <c r="B155" s="131"/>
      <c r="C155" s="131" t="s">
        <v>9</v>
      </c>
      <c r="D155" s="110"/>
      <c r="E155" s="131"/>
      <c r="F155" s="131" t="s">
        <v>121</v>
      </c>
      <c r="G155" s="110"/>
      <c r="H155" s="131"/>
    </row>
    <row r="156" spans="2:8" x14ac:dyDescent="0.25">
      <c r="B156" s="131"/>
      <c r="C156" s="131" t="s">
        <v>114</v>
      </c>
      <c r="D156" s="110"/>
      <c r="E156" s="131"/>
      <c r="F156" s="131" t="s">
        <v>123</v>
      </c>
      <c r="G156" s="108"/>
      <c r="H156" s="131"/>
    </row>
    <row r="157" spans="2:8" x14ac:dyDescent="0.25">
      <c r="B157" s="131"/>
      <c r="C157" s="131" t="s">
        <v>8</v>
      </c>
      <c r="D157" s="107"/>
      <c r="E157" s="131"/>
      <c r="F157" s="131" t="s">
        <v>125</v>
      </c>
      <c r="G157" s="110"/>
      <c r="H157" s="131"/>
    </row>
    <row r="158" spans="2:8" x14ac:dyDescent="0.25">
      <c r="B158" s="131"/>
      <c r="C158" s="131" t="s">
        <v>126</v>
      </c>
      <c r="D158" s="110"/>
      <c r="E158" s="131"/>
      <c r="F158" s="131"/>
      <c r="G158" s="131"/>
      <c r="H158" s="131"/>
    </row>
    <row r="159" spans="2:8" x14ac:dyDescent="0.25">
      <c r="B159" s="131"/>
      <c r="C159" s="131"/>
      <c r="D159" s="133"/>
      <c r="E159" s="131"/>
      <c r="F159" s="131"/>
      <c r="G159" s="133"/>
      <c r="H159" s="131"/>
    </row>
    <row r="160" spans="2:8" x14ac:dyDescent="0.25">
      <c r="B160" s="131"/>
      <c r="C160" s="131" t="s">
        <v>129</v>
      </c>
      <c r="D160" s="89"/>
      <c r="E160" s="131"/>
      <c r="F160" s="131"/>
      <c r="G160" s="133"/>
      <c r="H160" s="131"/>
    </row>
    <row r="161" spans="1:8" x14ac:dyDescent="0.25">
      <c r="B161" s="131"/>
      <c r="C161" s="131" t="s">
        <v>130</v>
      </c>
      <c r="D161" s="89"/>
      <c r="E161" s="131"/>
      <c r="F161" s="131"/>
      <c r="G161" s="133"/>
      <c r="H161" s="131"/>
    </row>
    <row r="162" spans="1:8" x14ac:dyDescent="0.25">
      <c r="B162" s="131"/>
      <c r="C162" s="131" t="s">
        <v>1640</v>
      </c>
      <c r="D162" s="89"/>
      <c r="E162" s="131"/>
      <c r="F162" s="131"/>
      <c r="G162" s="133"/>
      <c r="H162" s="131"/>
    </row>
    <row r="163" spans="1:8" ht="14.4" x14ac:dyDescent="0.3">
      <c r="B163" s="131"/>
      <c r="C163" s="131" t="s">
        <v>132</v>
      </c>
      <c r="D163" s="89"/>
      <c r="E163" s="131"/>
      <c r="F163" s="131"/>
      <c r="G163" s="133"/>
      <c r="H163" s="131"/>
    </row>
    <row r="164" spans="1:8" x14ac:dyDescent="0.25">
      <c r="B164" s="131"/>
      <c r="C164" s="131" t="s">
        <v>131</v>
      </c>
      <c r="D164" s="110"/>
      <c r="E164" s="131"/>
      <c r="F164" s="131"/>
      <c r="G164" s="133"/>
      <c r="H164" s="131"/>
    </row>
    <row r="165" spans="1:8" x14ac:dyDescent="0.25">
      <c r="B165" s="131"/>
      <c r="C165" s="131"/>
      <c r="D165" s="133"/>
      <c r="E165" s="131"/>
      <c r="F165" s="131"/>
      <c r="G165" s="133"/>
      <c r="H165" s="131"/>
    </row>
    <row r="166" spans="1:8" x14ac:dyDescent="0.25">
      <c r="B166" s="131"/>
      <c r="C166" s="131" t="s">
        <v>1173</v>
      </c>
      <c r="D166" s="133"/>
      <c r="E166" s="131"/>
      <c r="F166" s="131"/>
      <c r="G166" s="89"/>
      <c r="H166" s="131"/>
    </row>
    <row r="167" spans="1:8" x14ac:dyDescent="0.25">
      <c r="B167" s="131"/>
      <c r="C167" s="131" t="s">
        <v>133</v>
      </c>
      <c r="D167" s="133"/>
      <c r="E167" s="131"/>
      <c r="F167" s="131"/>
      <c r="G167" s="110"/>
      <c r="H167" s="131"/>
    </row>
    <row r="168" spans="1:8" x14ac:dyDescent="0.25">
      <c r="B168" s="131"/>
      <c r="C168" s="131" t="s">
        <v>1174</v>
      </c>
      <c r="D168" s="133"/>
      <c r="E168" s="131"/>
      <c r="F168" s="131"/>
      <c r="G168" s="110"/>
      <c r="H168" s="131"/>
    </row>
    <row r="169" spans="1:8" x14ac:dyDescent="0.25">
      <c r="B169" s="131"/>
      <c r="C169" s="131" t="s">
        <v>134</v>
      </c>
      <c r="D169" s="133"/>
      <c r="E169" s="131"/>
      <c r="F169" s="131"/>
      <c r="G169" s="89"/>
      <c r="H169" s="131"/>
    </row>
    <row r="170" spans="1:8" x14ac:dyDescent="0.25">
      <c r="B170" s="131"/>
      <c r="C170" s="131" t="s">
        <v>135</v>
      </c>
      <c r="D170" s="133"/>
      <c r="E170" s="131"/>
      <c r="F170" s="131"/>
      <c r="G170" s="89"/>
      <c r="H170" s="131"/>
    </row>
    <row r="172" spans="1:8" ht="17.399999999999999" x14ac:dyDescent="0.3">
      <c r="A172" s="6" t="s">
        <v>1340</v>
      </c>
    </row>
    <row r="173" spans="1:8" ht="15.6" x14ac:dyDescent="0.3">
      <c r="C173" s="5" t="s">
        <v>1193</v>
      </c>
      <c r="D173" s="110"/>
      <c r="F173" s="130" t="s">
        <v>124</v>
      </c>
    </row>
    <row r="174" spans="1:8" x14ac:dyDescent="0.25">
      <c r="C174" s="5" t="s">
        <v>112</v>
      </c>
      <c r="D174" s="110"/>
      <c r="F174" s="5" t="s">
        <v>119</v>
      </c>
      <c r="G174" s="110"/>
    </row>
    <row r="175" spans="1:8" x14ac:dyDescent="0.25">
      <c r="C175" s="5" t="s">
        <v>113</v>
      </c>
      <c r="D175" s="110"/>
      <c r="F175" s="5" t="s">
        <v>120</v>
      </c>
      <c r="G175" s="110"/>
    </row>
    <row r="176" spans="1:8" x14ac:dyDescent="0.25">
      <c r="C176" s="5" t="s">
        <v>9</v>
      </c>
      <c r="D176" s="110"/>
      <c r="F176" s="5" t="s">
        <v>121</v>
      </c>
      <c r="G176" s="110"/>
    </row>
    <row r="177" spans="1:10" x14ac:dyDescent="0.25">
      <c r="C177" s="5" t="s">
        <v>114</v>
      </c>
      <c r="D177" s="110"/>
      <c r="F177" s="5" t="s">
        <v>123</v>
      </c>
      <c r="G177" s="108"/>
    </row>
    <row r="178" spans="1:10" x14ac:dyDescent="0.25">
      <c r="C178" s="5" t="s">
        <v>8</v>
      </c>
      <c r="D178" s="107"/>
      <c r="F178" s="5" t="s">
        <v>125</v>
      </c>
      <c r="G178" s="110"/>
    </row>
    <row r="179" spans="1:10" x14ac:dyDescent="0.25">
      <c r="C179" s="5" t="s">
        <v>117</v>
      </c>
      <c r="D179" s="213"/>
    </row>
    <row r="180" spans="1:10" x14ac:dyDescent="0.25">
      <c r="C180" s="5" t="s">
        <v>126</v>
      </c>
      <c r="D180" s="110"/>
    </row>
    <row r="182" spans="1:10" ht="17.399999999999999" x14ac:dyDescent="0.3">
      <c r="A182" s="6" t="s">
        <v>1337</v>
      </c>
    </row>
    <row r="183" spans="1:10" ht="15.6" x14ac:dyDescent="0.3">
      <c r="C183" s="5" t="s">
        <v>163</v>
      </c>
      <c r="D183" s="110"/>
      <c r="F183" s="130" t="s">
        <v>124</v>
      </c>
    </row>
    <row r="184" spans="1:10" x14ac:dyDescent="0.25">
      <c r="C184" s="5" t="s">
        <v>112</v>
      </c>
      <c r="D184" s="110"/>
      <c r="F184" s="5" t="s">
        <v>119</v>
      </c>
      <c r="G184" s="110"/>
      <c r="I184" s="834"/>
      <c r="J184" s="834"/>
    </row>
    <row r="185" spans="1:10" x14ac:dyDescent="0.25">
      <c r="C185" s="5" t="s">
        <v>113</v>
      </c>
      <c r="D185" s="110"/>
      <c r="F185" s="5" t="s">
        <v>120</v>
      </c>
      <c r="G185" s="110"/>
      <c r="I185" s="834"/>
      <c r="J185" s="834"/>
    </row>
    <row r="186" spans="1:10" x14ac:dyDescent="0.25">
      <c r="C186" s="5" t="s">
        <v>9</v>
      </c>
      <c r="D186" s="110"/>
      <c r="F186" s="5" t="s">
        <v>121</v>
      </c>
      <c r="G186" s="110"/>
      <c r="I186" s="834"/>
      <c r="J186" s="834"/>
    </row>
    <row r="187" spans="1:10" x14ac:dyDescent="0.25">
      <c r="C187" s="5" t="s">
        <v>114</v>
      </c>
      <c r="D187" s="110"/>
      <c r="F187" s="5" t="s">
        <v>123</v>
      </c>
      <c r="G187" s="108"/>
      <c r="I187" s="834"/>
      <c r="J187" s="834"/>
    </row>
    <row r="188" spans="1:10" x14ac:dyDescent="0.25">
      <c r="C188" s="5" t="s">
        <v>8</v>
      </c>
      <c r="D188" s="107"/>
      <c r="F188" s="5" t="s">
        <v>125</v>
      </c>
      <c r="G188" s="110"/>
    </row>
    <row r="189" spans="1:10" x14ac:dyDescent="0.25">
      <c r="C189" s="5" t="s">
        <v>117</v>
      </c>
      <c r="D189" s="213"/>
      <c r="F189" s="5" t="s">
        <v>1118</v>
      </c>
      <c r="G189" s="89"/>
    </row>
    <row r="190" spans="1:10" x14ac:dyDescent="0.25">
      <c r="C190" s="5" t="s">
        <v>126</v>
      </c>
      <c r="D190" s="110"/>
    </row>
    <row r="192" spans="1:10" ht="17.399999999999999" x14ac:dyDescent="0.3">
      <c r="A192" s="6" t="s">
        <v>834</v>
      </c>
    </row>
    <row r="193" spans="1:9" ht="15.6" x14ac:dyDescent="0.3">
      <c r="C193" s="5" t="s">
        <v>185</v>
      </c>
      <c r="D193" s="110"/>
      <c r="F193" s="130" t="s">
        <v>124</v>
      </c>
    </row>
    <row r="194" spans="1:9" x14ac:dyDescent="0.25">
      <c r="C194" s="5" t="s">
        <v>112</v>
      </c>
      <c r="D194" s="110"/>
      <c r="F194" s="5" t="s">
        <v>119</v>
      </c>
      <c r="G194" s="110"/>
    </row>
    <row r="195" spans="1:9" x14ac:dyDescent="0.25">
      <c r="C195" s="5" t="s">
        <v>113</v>
      </c>
      <c r="D195" s="110"/>
      <c r="F195" s="5" t="s">
        <v>120</v>
      </c>
      <c r="G195" s="110"/>
    </row>
    <row r="196" spans="1:9" x14ac:dyDescent="0.25">
      <c r="C196" s="5" t="s">
        <v>114</v>
      </c>
      <c r="D196" s="110"/>
      <c r="F196" s="5" t="s">
        <v>121</v>
      </c>
      <c r="G196" s="110"/>
    </row>
    <row r="197" spans="1:9" x14ac:dyDescent="0.25">
      <c r="C197" s="5" t="s">
        <v>8</v>
      </c>
      <c r="D197" s="107"/>
      <c r="F197" s="5" t="s">
        <v>123</v>
      </c>
      <c r="G197" s="108"/>
    </row>
    <row r="198" spans="1:9" x14ac:dyDescent="0.25">
      <c r="C198" s="5" t="s">
        <v>117</v>
      </c>
      <c r="D198" s="213"/>
      <c r="F198" s="5" t="s">
        <v>125</v>
      </c>
      <c r="G198" s="110"/>
    </row>
    <row r="199" spans="1:9" x14ac:dyDescent="0.25">
      <c r="C199" s="5" t="s">
        <v>126</v>
      </c>
      <c r="D199" s="110"/>
    </row>
    <row r="201" spans="1:9" ht="17.399999999999999" x14ac:dyDescent="0.3">
      <c r="A201" s="6" t="s">
        <v>1339</v>
      </c>
    </row>
    <row r="202" spans="1:9" ht="9" customHeight="1" x14ac:dyDescent="0.3">
      <c r="A202" s="6"/>
    </row>
    <row r="203" spans="1:9" x14ac:dyDescent="0.25">
      <c r="C203" s="10" t="s">
        <v>144</v>
      </c>
      <c r="D203" s="23" t="s">
        <v>145</v>
      </c>
      <c r="E203" s="10" t="s">
        <v>124</v>
      </c>
      <c r="F203" s="10"/>
      <c r="G203" s="23" t="s">
        <v>146</v>
      </c>
      <c r="H203" s="837" t="s">
        <v>125</v>
      </c>
      <c r="I203" s="837"/>
    </row>
    <row r="204" spans="1:9" x14ac:dyDescent="0.25">
      <c r="C204" s="135" t="s">
        <v>147</v>
      </c>
      <c r="D204" s="113"/>
      <c r="E204" s="734"/>
      <c r="F204" s="735"/>
      <c r="G204" s="136"/>
      <c r="H204" s="835"/>
      <c r="I204" s="836"/>
    </row>
    <row r="205" spans="1:9" x14ac:dyDescent="0.25">
      <c r="C205" s="135" t="s">
        <v>148</v>
      </c>
      <c r="D205" s="113"/>
      <c r="E205" s="734"/>
      <c r="F205" s="735"/>
      <c r="G205" s="136"/>
      <c r="H205" s="835"/>
      <c r="I205" s="836"/>
    </row>
    <row r="206" spans="1:9" x14ac:dyDescent="0.25">
      <c r="C206" s="135" t="s">
        <v>1131</v>
      </c>
      <c r="D206" s="113"/>
      <c r="E206" s="734"/>
      <c r="F206" s="735"/>
      <c r="G206" s="136"/>
      <c r="H206" s="734"/>
      <c r="I206" s="735"/>
    </row>
    <row r="207" spans="1:9" x14ac:dyDescent="0.25">
      <c r="C207" s="135" t="s">
        <v>149</v>
      </c>
      <c r="D207" s="113"/>
      <c r="E207" s="734"/>
      <c r="F207" s="735"/>
      <c r="G207" s="136"/>
      <c r="H207" s="835"/>
      <c r="I207" s="836"/>
    </row>
    <row r="208" spans="1:9" x14ac:dyDescent="0.25">
      <c r="C208" s="135" t="s">
        <v>150</v>
      </c>
      <c r="D208" s="113"/>
      <c r="E208" s="734"/>
      <c r="F208" s="735"/>
      <c r="G208" s="136"/>
      <c r="H208" s="835"/>
      <c r="I208" s="836"/>
    </row>
    <row r="209" spans="1:10" x14ac:dyDescent="0.25">
      <c r="C209" s="135" t="s">
        <v>746</v>
      </c>
      <c r="D209" s="113"/>
      <c r="E209" s="734"/>
      <c r="F209" s="735"/>
      <c r="G209" s="136"/>
      <c r="H209" s="835"/>
      <c r="I209" s="836"/>
    </row>
    <row r="210" spans="1:10" x14ac:dyDescent="0.25">
      <c r="C210" s="135" t="s">
        <v>747</v>
      </c>
      <c r="D210" s="113"/>
      <c r="E210" s="734"/>
      <c r="F210" s="735"/>
      <c r="G210" s="136"/>
      <c r="H210" s="835"/>
      <c r="I210" s="836"/>
    </row>
    <row r="211" spans="1:10" x14ac:dyDescent="0.25">
      <c r="C211" s="135" t="s">
        <v>748</v>
      </c>
      <c r="D211" s="113"/>
      <c r="E211" s="734"/>
      <c r="F211" s="735"/>
      <c r="G211" s="136"/>
      <c r="H211" s="835"/>
      <c r="I211" s="836"/>
    </row>
    <row r="212" spans="1:10" x14ac:dyDescent="0.25">
      <c r="C212" s="135" t="s">
        <v>749</v>
      </c>
      <c r="D212" s="113"/>
      <c r="E212" s="734"/>
      <c r="F212" s="735"/>
      <c r="G212" s="136"/>
      <c r="H212" s="835"/>
      <c r="I212" s="836"/>
    </row>
    <row r="213" spans="1:10" x14ac:dyDescent="0.25">
      <c r="C213" s="135" t="s">
        <v>750</v>
      </c>
      <c r="D213" s="113"/>
      <c r="E213" s="734"/>
      <c r="F213" s="735"/>
      <c r="G213" s="136"/>
      <c r="H213" s="835"/>
      <c r="I213" s="836"/>
    </row>
    <row r="214" spans="1:10" x14ac:dyDescent="0.25">
      <c r="C214" s="135" t="s">
        <v>751</v>
      </c>
      <c r="D214" s="113"/>
      <c r="E214" s="734"/>
      <c r="F214" s="735"/>
      <c r="G214" s="136"/>
      <c r="H214" s="835"/>
      <c r="I214" s="836"/>
    </row>
    <row r="215" spans="1:10" x14ac:dyDescent="0.25">
      <c r="C215" s="135" t="s">
        <v>752</v>
      </c>
      <c r="D215" s="113"/>
      <c r="E215" s="734"/>
      <c r="F215" s="735"/>
      <c r="G215" s="136"/>
      <c r="H215" s="835"/>
      <c r="I215" s="836"/>
    </row>
    <row r="216" spans="1:10" x14ac:dyDescent="0.25">
      <c r="C216" s="135" t="s">
        <v>753</v>
      </c>
      <c r="D216" s="113"/>
      <c r="E216" s="734"/>
      <c r="F216" s="735"/>
      <c r="G216" s="136"/>
      <c r="H216" s="835"/>
      <c r="I216" s="836"/>
    </row>
    <row r="217" spans="1:10" x14ac:dyDescent="0.25">
      <c r="C217" s="135" t="s">
        <v>754</v>
      </c>
      <c r="D217" s="113"/>
      <c r="E217" s="734"/>
      <c r="F217" s="735"/>
      <c r="G217" s="136"/>
      <c r="H217" s="734"/>
      <c r="I217" s="735"/>
    </row>
    <row r="218" spans="1:10" x14ac:dyDescent="0.25">
      <c r="C218" s="135" t="s">
        <v>755</v>
      </c>
      <c r="D218" s="113"/>
      <c r="E218" s="734"/>
      <c r="F218" s="735"/>
      <c r="G218" s="136"/>
      <c r="H218" s="734"/>
      <c r="I218" s="735"/>
    </row>
    <row r="219" spans="1:10" x14ac:dyDescent="0.25">
      <c r="C219" s="113"/>
      <c r="D219" s="113"/>
      <c r="E219" s="248"/>
      <c r="F219" s="112"/>
      <c r="G219" s="136"/>
      <c r="H219" s="734"/>
      <c r="I219" s="735"/>
    </row>
    <row r="220" spans="1:10" x14ac:dyDescent="0.25">
      <c r="C220" s="113"/>
      <c r="D220" s="113"/>
      <c r="E220" s="248"/>
      <c r="F220" s="112"/>
      <c r="G220" s="136"/>
      <c r="H220" s="734"/>
      <c r="I220" s="735"/>
    </row>
    <row r="221" spans="1:10" x14ac:dyDescent="0.25">
      <c r="C221" s="113"/>
      <c r="D221" s="113"/>
      <c r="E221" s="248"/>
      <c r="F221" s="112"/>
      <c r="G221" s="136"/>
      <c r="H221" s="734"/>
      <c r="I221" s="735"/>
    </row>
    <row r="222" spans="1:10" x14ac:dyDescent="0.25">
      <c r="C222" s="113"/>
      <c r="D222" s="113"/>
      <c r="E222" s="734"/>
      <c r="F222" s="735"/>
      <c r="G222" s="136"/>
      <c r="H222" s="734"/>
      <c r="I222" s="735"/>
    </row>
    <row r="223" spans="1:10" x14ac:dyDescent="0.25">
      <c r="D223" s="5"/>
      <c r="G223" s="5"/>
    </row>
    <row r="224" spans="1:10" ht="17.399999999999999" x14ac:dyDescent="0.3">
      <c r="A224" s="6" t="s">
        <v>720</v>
      </c>
      <c r="D224" s="5"/>
      <c r="G224" s="5"/>
      <c r="J224" s="5"/>
    </row>
    <row r="225" spans="1:12" ht="30.75" customHeight="1" x14ac:dyDescent="0.25">
      <c r="A225" s="726" t="s">
        <v>1175</v>
      </c>
      <c r="B225" s="726"/>
      <c r="C225" s="726"/>
      <c r="D225" s="726"/>
      <c r="E225" s="726"/>
      <c r="F225" s="726"/>
      <c r="G225" s="726"/>
      <c r="H225" s="726"/>
      <c r="I225" s="726"/>
      <c r="J225" s="726"/>
      <c r="K225" s="726"/>
      <c r="L225" s="24"/>
    </row>
    <row r="226" spans="1:12" x14ac:dyDescent="0.25">
      <c r="D226" s="5"/>
      <c r="G226" s="5"/>
      <c r="J226" s="5"/>
    </row>
    <row r="227" spans="1:12" ht="41.4" x14ac:dyDescent="0.25">
      <c r="C227" s="10"/>
      <c r="D227" s="52" t="s">
        <v>139</v>
      </c>
      <c r="E227" s="52" t="s">
        <v>912</v>
      </c>
      <c r="F227" s="52" t="s">
        <v>913</v>
      </c>
      <c r="G227" s="52" t="s">
        <v>707</v>
      </c>
      <c r="H227" s="52" t="s">
        <v>735</v>
      </c>
      <c r="I227" s="52" t="s">
        <v>151</v>
      </c>
      <c r="J227" s="5"/>
    </row>
    <row r="228" spans="1:12" x14ac:dyDescent="0.25">
      <c r="C228" s="10" t="s">
        <v>721</v>
      </c>
      <c r="D228" s="93"/>
      <c r="E228" s="93"/>
      <c r="F228" s="93"/>
      <c r="G228" s="93"/>
      <c r="H228" s="93"/>
      <c r="I228" s="27">
        <f t="shared" ref="I228:I242" si="0">SUM(D228:H228)</f>
        <v>0</v>
      </c>
      <c r="J228" s="5"/>
    </row>
    <row r="229" spans="1:12" x14ac:dyDescent="0.25">
      <c r="C229" s="10" t="s">
        <v>722</v>
      </c>
      <c r="D229" s="93"/>
      <c r="E229" s="93"/>
      <c r="F229" s="93"/>
      <c r="G229" s="93"/>
      <c r="H229" s="93"/>
      <c r="I229" s="27">
        <f t="shared" si="0"/>
        <v>0</v>
      </c>
      <c r="J229" s="5"/>
    </row>
    <row r="230" spans="1:12" x14ac:dyDescent="0.25">
      <c r="C230" s="10" t="s">
        <v>357</v>
      </c>
      <c r="D230" s="93"/>
      <c r="E230" s="93"/>
      <c r="F230" s="93"/>
      <c r="G230" s="93"/>
      <c r="H230" s="93"/>
      <c r="I230" s="27">
        <f t="shared" si="0"/>
        <v>0</v>
      </c>
      <c r="J230" s="5"/>
    </row>
    <row r="231" spans="1:12" x14ac:dyDescent="0.25">
      <c r="C231" s="10" t="s">
        <v>723</v>
      </c>
      <c r="D231" s="93"/>
      <c r="E231" s="93"/>
      <c r="F231" s="93"/>
      <c r="G231" s="93"/>
      <c r="H231" s="93"/>
      <c r="I231" s="27">
        <f t="shared" si="0"/>
        <v>0</v>
      </c>
      <c r="J231" s="5"/>
    </row>
    <row r="232" spans="1:12" x14ac:dyDescent="0.25">
      <c r="C232" s="10" t="s">
        <v>724</v>
      </c>
      <c r="D232" s="93"/>
      <c r="E232" s="93"/>
      <c r="F232" s="93"/>
      <c r="G232" s="93"/>
      <c r="H232" s="93"/>
      <c r="I232" s="27">
        <f t="shared" si="0"/>
        <v>0</v>
      </c>
      <c r="J232" s="5"/>
    </row>
    <row r="233" spans="1:12" x14ac:dyDescent="0.25">
      <c r="C233" s="10" t="s">
        <v>725</v>
      </c>
      <c r="D233" s="93"/>
      <c r="E233" s="93"/>
      <c r="F233" s="93"/>
      <c r="G233" s="93"/>
      <c r="H233" s="93"/>
      <c r="I233" s="27">
        <f t="shared" si="0"/>
        <v>0</v>
      </c>
      <c r="J233" s="5"/>
    </row>
    <row r="234" spans="1:12" x14ac:dyDescent="0.25">
      <c r="C234" s="10" t="s">
        <v>726</v>
      </c>
      <c r="D234" s="93"/>
      <c r="E234" s="93"/>
      <c r="F234" s="93"/>
      <c r="G234" s="93"/>
      <c r="H234" s="93"/>
      <c r="I234" s="27">
        <f t="shared" si="0"/>
        <v>0</v>
      </c>
      <c r="J234" s="5"/>
    </row>
    <row r="235" spans="1:12" x14ac:dyDescent="0.25">
      <c r="C235" s="10" t="s">
        <v>727</v>
      </c>
      <c r="D235" s="93"/>
      <c r="E235" s="93"/>
      <c r="F235" s="93"/>
      <c r="G235" s="93"/>
      <c r="H235" s="93"/>
      <c r="I235" s="27">
        <f t="shared" si="0"/>
        <v>0</v>
      </c>
      <c r="J235" s="5"/>
    </row>
    <row r="236" spans="1:12" x14ac:dyDescent="0.25">
      <c r="C236" s="10" t="s">
        <v>728</v>
      </c>
      <c r="D236" s="93"/>
      <c r="E236" s="93"/>
      <c r="F236" s="93"/>
      <c r="G236" s="93"/>
      <c r="H236" s="93"/>
      <c r="I236" s="27">
        <f t="shared" si="0"/>
        <v>0</v>
      </c>
      <c r="J236" s="5"/>
    </row>
    <row r="237" spans="1:12" x14ac:dyDescent="0.25">
      <c r="C237" s="10" t="s">
        <v>729</v>
      </c>
      <c r="D237" s="93"/>
      <c r="E237" s="93"/>
      <c r="F237" s="93"/>
      <c r="G237" s="93"/>
      <c r="H237" s="93"/>
      <c r="I237" s="27">
        <f t="shared" si="0"/>
        <v>0</v>
      </c>
      <c r="J237" s="5"/>
    </row>
    <row r="238" spans="1:12" x14ac:dyDescent="0.25">
      <c r="C238" s="10" t="s">
        <v>730</v>
      </c>
      <c r="D238" s="93"/>
      <c r="E238" s="93"/>
      <c r="F238" s="93"/>
      <c r="G238" s="93"/>
      <c r="H238" s="93"/>
      <c r="I238" s="27">
        <f t="shared" si="0"/>
        <v>0</v>
      </c>
      <c r="J238" s="5"/>
    </row>
    <row r="239" spans="1:12" x14ac:dyDescent="0.25">
      <c r="C239" s="10" t="s">
        <v>731</v>
      </c>
      <c r="D239" s="93"/>
      <c r="E239" s="93"/>
      <c r="F239" s="93"/>
      <c r="G239" s="93"/>
      <c r="H239" s="93"/>
      <c r="I239" s="27">
        <f t="shared" si="0"/>
        <v>0</v>
      </c>
      <c r="J239" s="5"/>
    </row>
    <row r="240" spans="1:12" x14ac:dyDescent="0.25">
      <c r="C240" s="10" t="s">
        <v>732</v>
      </c>
      <c r="D240" s="93"/>
      <c r="E240" s="93"/>
      <c r="F240" s="93"/>
      <c r="G240" s="93"/>
      <c r="H240" s="93"/>
      <c r="I240" s="27">
        <f t="shared" si="0"/>
        <v>0</v>
      </c>
      <c r="J240" s="5"/>
    </row>
    <row r="241" spans="1:11" x14ac:dyDescent="0.25">
      <c r="C241" s="10" t="s">
        <v>733</v>
      </c>
      <c r="D241" s="93"/>
      <c r="E241" s="93"/>
      <c r="F241" s="93"/>
      <c r="G241" s="93"/>
      <c r="H241" s="93"/>
      <c r="I241" s="27">
        <f t="shared" si="0"/>
        <v>0</v>
      </c>
      <c r="J241" s="5"/>
    </row>
    <row r="242" spans="1:11" x14ac:dyDescent="0.25">
      <c r="C242" s="10" t="s">
        <v>734</v>
      </c>
      <c r="D242" s="93"/>
      <c r="E242" s="93"/>
      <c r="F242" s="93"/>
      <c r="G242" s="93"/>
      <c r="H242" s="93"/>
      <c r="I242" s="27">
        <f t="shared" si="0"/>
        <v>0</v>
      </c>
      <c r="J242" s="5"/>
    </row>
    <row r="243" spans="1:11" x14ac:dyDescent="0.25">
      <c r="D243" s="5"/>
      <c r="G243" s="5"/>
      <c r="J243" s="5"/>
    </row>
    <row r="244" spans="1:11" ht="17.399999999999999" x14ac:dyDescent="0.3">
      <c r="A244" s="6" t="s">
        <v>736</v>
      </c>
      <c r="D244" s="5"/>
      <c r="G244" s="5"/>
      <c r="J244" s="5"/>
    </row>
    <row r="245" spans="1:11" x14ac:dyDescent="0.25">
      <c r="D245" s="5"/>
      <c r="G245" s="5"/>
      <c r="J245" s="5"/>
    </row>
    <row r="246" spans="1:11" ht="31.5" customHeight="1" x14ac:dyDescent="0.25">
      <c r="B246" s="845" t="s">
        <v>1491</v>
      </c>
      <c r="C246" s="845"/>
      <c r="D246" s="845"/>
      <c r="E246" s="845"/>
      <c r="F246" s="845"/>
      <c r="G246" s="845"/>
      <c r="H246" s="845"/>
      <c r="I246" s="845"/>
      <c r="J246" s="845"/>
      <c r="K246" s="845"/>
    </row>
    <row r="247" spans="1:11" ht="50.1" customHeight="1" x14ac:dyDescent="0.25">
      <c r="B247" s="844"/>
      <c r="C247" s="844"/>
      <c r="D247" s="844"/>
      <c r="E247" s="844"/>
      <c r="F247" s="844"/>
      <c r="G247" s="844"/>
      <c r="H247" s="844"/>
      <c r="I247" s="844"/>
      <c r="J247" s="844"/>
      <c r="K247" s="844"/>
    </row>
    <row r="248" spans="1:11" x14ac:dyDescent="0.25">
      <c r="D248" s="5"/>
      <c r="G248" s="5"/>
      <c r="J248" s="5"/>
    </row>
    <row r="249" spans="1:11" ht="30.75" customHeight="1" x14ac:dyDescent="0.25">
      <c r="B249" s="845" t="s">
        <v>1492</v>
      </c>
      <c r="C249" s="845"/>
      <c r="D249" s="845"/>
      <c r="E249" s="845"/>
      <c r="F249" s="845"/>
      <c r="G249" s="845"/>
      <c r="H249" s="845"/>
      <c r="I249" s="845"/>
      <c r="J249" s="845"/>
      <c r="K249" s="845"/>
    </row>
    <row r="250" spans="1:11" ht="50.1" customHeight="1" x14ac:dyDescent="0.25">
      <c r="B250" s="844"/>
      <c r="C250" s="844"/>
      <c r="D250" s="844"/>
      <c r="E250" s="844"/>
      <c r="F250" s="844"/>
      <c r="G250" s="844"/>
      <c r="H250" s="844"/>
      <c r="I250" s="844"/>
      <c r="J250" s="844"/>
      <c r="K250" s="844"/>
    </row>
    <row r="251" spans="1:11" x14ac:dyDescent="0.25">
      <c r="D251" s="5"/>
      <c r="G251" s="5"/>
      <c r="J251" s="5"/>
    </row>
    <row r="252" spans="1:11" ht="30.75" customHeight="1" x14ac:dyDescent="0.25">
      <c r="B252" s="845" t="s">
        <v>1493</v>
      </c>
      <c r="C252" s="845"/>
      <c r="D252" s="845"/>
      <c r="E252" s="845"/>
      <c r="F252" s="845"/>
      <c r="G252" s="845"/>
      <c r="H252" s="845"/>
      <c r="I252" s="845"/>
      <c r="J252" s="845"/>
      <c r="K252" s="845"/>
    </row>
    <row r="253" spans="1:11" ht="50.1" customHeight="1" x14ac:dyDescent="0.25">
      <c r="B253" s="844"/>
      <c r="C253" s="844"/>
      <c r="D253" s="844"/>
      <c r="E253" s="844"/>
      <c r="F253" s="844"/>
      <c r="G253" s="844"/>
      <c r="H253" s="844"/>
      <c r="I253" s="844"/>
      <c r="J253" s="844"/>
      <c r="K253" s="844"/>
    </row>
    <row r="254" spans="1:11" x14ac:dyDescent="0.25">
      <c r="D254" s="5"/>
      <c r="G254" s="5"/>
      <c r="J254" s="5"/>
    </row>
    <row r="255" spans="1:11" ht="15.75" customHeight="1" x14ac:dyDescent="0.25">
      <c r="B255" s="845" t="s">
        <v>1494</v>
      </c>
      <c r="C255" s="845"/>
      <c r="D255" s="845"/>
      <c r="E255" s="845"/>
      <c r="F255" s="845"/>
      <c r="G255" s="845"/>
      <c r="H255" s="845"/>
      <c r="I255" s="845"/>
      <c r="J255" s="845"/>
      <c r="K255" s="845"/>
    </row>
    <row r="256" spans="1:11" ht="50.1" customHeight="1" x14ac:dyDescent="0.25">
      <c r="B256" s="844"/>
      <c r="C256" s="844"/>
      <c r="D256" s="844"/>
      <c r="E256" s="844"/>
      <c r="F256" s="844"/>
      <c r="G256" s="844"/>
      <c r="H256" s="844"/>
      <c r="I256" s="844"/>
      <c r="J256" s="844"/>
      <c r="K256" s="844"/>
    </row>
    <row r="257" spans="2:11" x14ac:dyDescent="0.25">
      <c r="D257" s="5"/>
      <c r="G257" s="5"/>
      <c r="J257" s="5"/>
    </row>
    <row r="258" spans="2:11" ht="15.75" customHeight="1" x14ac:dyDescent="0.25">
      <c r="B258" s="845" t="s">
        <v>1495</v>
      </c>
      <c r="C258" s="845"/>
      <c r="D258" s="845"/>
      <c r="E258" s="845"/>
      <c r="F258" s="845"/>
      <c r="G258" s="845"/>
      <c r="H258" s="845"/>
      <c r="I258" s="845"/>
      <c r="J258" s="845"/>
      <c r="K258" s="845"/>
    </row>
    <row r="259" spans="2:11" ht="50.1" customHeight="1" x14ac:dyDescent="0.25">
      <c r="B259" s="844"/>
      <c r="C259" s="844"/>
      <c r="D259" s="844"/>
      <c r="E259" s="844"/>
      <c r="F259" s="844"/>
      <c r="G259" s="844"/>
      <c r="H259" s="844"/>
      <c r="I259" s="844"/>
      <c r="J259" s="844"/>
      <c r="K259" s="844"/>
    </row>
    <row r="260" spans="2:11" x14ac:dyDescent="0.25">
      <c r="D260" s="5"/>
      <c r="G260" s="5"/>
      <c r="J260" s="5"/>
    </row>
    <row r="261" spans="2:11" ht="15.75" customHeight="1" x14ac:dyDescent="0.25">
      <c r="B261" s="845" t="s">
        <v>1496</v>
      </c>
      <c r="C261" s="845"/>
      <c r="D261" s="845"/>
      <c r="E261" s="845"/>
      <c r="F261" s="845"/>
      <c r="G261" s="845"/>
      <c r="H261" s="845"/>
      <c r="I261" s="845"/>
      <c r="J261" s="845"/>
      <c r="K261" s="845"/>
    </row>
    <row r="262" spans="2:11" ht="50.1" customHeight="1" x14ac:dyDescent="0.25">
      <c r="B262" s="844"/>
      <c r="C262" s="844"/>
      <c r="D262" s="844"/>
      <c r="E262" s="844"/>
      <c r="F262" s="844"/>
      <c r="G262" s="844"/>
      <c r="H262" s="844"/>
      <c r="I262" s="844"/>
      <c r="J262" s="844"/>
      <c r="K262" s="844"/>
    </row>
    <row r="263" spans="2:11" x14ac:dyDescent="0.25">
      <c r="D263" s="5"/>
      <c r="G263" s="5"/>
      <c r="J263" s="5"/>
    </row>
    <row r="264" spans="2:11" ht="30" customHeight="1" x14ac:dyDescent="0.25">
      <c r="B264" s="845" t="s">
        <v>1497</v>
      </c>
      <c r="C264" s="845"/>
      <c r="D264" s="845"/>
      <c r="E264" s="845"/>
      <c r="F264" s="845"/>
      <c r="G264" s="845"/>
      <c r="H264" s="845"/>
      <c r="I264" s="845"/>
      <c r="J264" s="845"/>
      <c r="K264" s="845"/>
    </row>
    <row r="265" spans="2:11" ht="50.1" customHeight="1" x14ac:dyDescent="0.25">
      <c r="B265" s="844"/>
      <c r="C265" s="844"/>
      <c r="D265" s="844"/>
      <c r="E265" s="844"/>
      <c r="F265" s="844"/>
      <c r="G265" s="844"/>
      <c r="H265" s="844"/>
      <c r="I265" s="844"/>
      <c r="J265" s="844"/>
      <c r="K265" s="844"/>
    </row>
    <row r="266" spans="2:11" x14ac:dyDescent="0.25">
      <c r="D266" s="5"/>
      <c r="G266" s="5"/>
      <c r="J266" s="5"/>
    </row>
  </sheetData>
  <sheetProtection algorithmName="SHA-512" hashValue="b+O+DjOf/GNNCpMGNRP2yCVnIFh9++1pPGp5ZTBAKfZui/DvOeooudnAolwBM8k9FatnO5IK5rUVMGWXkiQ2BA==" saltValue="liY1GrpPxmgzwoNERk2DYw==" spinCount="100000" sheet="1" objects="1" scenarios="1"/>
  <mergeCells count="58">
    <mergeCell ref="A225:K225"/>
    <mergeCell ref="B264:K264"/>
    <mergeCell ref="B261:K261"/>
    <mergeCell ref="B258:K258"/>
    <mergeCell ref="B255:K255"/>
    <mergeCell ref="B252:K252"/>
    <mergeCell ref="B249:K249"/>
    <mergeCell ref="B262:K262"/>
    <mergeCell ref="B265:K265"/>
    <mergeCell ref="B246:K246"/>
    <mergeCell ref="B250:K250"/>
    <mergeCell ref="B247:K247"/>
    <mergeCell ref="B253:K253"/>
    <mergeCell ref="B256:K256"/>
    <mergeCell ref="B259:K259"/>
    <mergeCell ref="H222:I222"/>
    <mergeCell ref="H221:I221"/>
    <mergeCell ref="H220:I220"/>
    <mergeCell ref="H206:I206"/>
    <mergeCell ref="H219:I219"/>
    <mergeCell ref="H218:I218"/>
    <mergeCell ref="H217:I217"/>
    <mergeCell ref="H216:I216"/>
    <mergeCell ref="H215:I215"/>
    <mergeCell ref="H214:I214"/>
    <mergeCell ref="H213:I213"/>
    <mergeCell ref="H212:I212"/>
    <mergeCell ref="H211:I211"/>
    <mergeCell ref="H210:I210"/>
    <mergeCell ref="H209:I209"/>
    <mergeCell ref="B58:B69"/>
    <mergeCell ref="E208:F208"/>
    <mergeCell ref="E207:F207"/>
    <mergeCell ref="E205:F205"/>
    <mergeCell ref="E204:F204"/>
    <mergeCell ref="B71:B82"/>
    <mergeCell ref="B84:B95"/>
    <mergeCell ref="E206:F206"/>
    <mergeCell ref="B99:B110"/>
    <mergeCell ref="B112:B123"/>
    <mergeCell ref="E222:F222"/>
    <mergeCell ref="E214:F214"/>
    <mergeCell ref="E215:F215"/>
    <mergeCell ref="E216:F216"/>
    <mergeCell ref="E217:F217"/>
    <mergeCell ref="E218:F218"/>
    <mergeCell ref="F29:F33"/>
    <mergeCell ref="I184:J187"/>
    <mergeCell ref="E212:F212"/>
    <mergeCell ref="E213:F213"/>
    <mergeCell ref="H207:I207"/>
    <mergeCell ref="H205:I205"/>
    <mergeCell ref="H208:I208"/>
    <mergeCell ref="E209:F209"/>
    <mergeCell ref="E210:F210"/>
    <mergeCell ref="E211:F211"/>
    <mergeCell ref="H204:I204"/>
    <mergeCell ref="H203:I203"/>
  </mergeCells>
  <dataValidations count="5">
    <dataValidation type="list" allowBlank="1" showInputMessage="1" showErrorMessage="1" sqref="D141:D144 G147 G149:G150 D160:D163 G166 G169:G170 G29 J16 D129" xr:uid="{00000000-0002-0000-0700-000000000000}">
      <formula1>"Yes,No"</formula1>
    </dataValidation>
    <dataValidation type="list" allowBlank="1" showInputMessage="1" showErrorMessage="1" sqref="D128" xr:uid="{00000000-0002-0000-0700-000001000000}">
      <formula1>"Public,Private,Self-Syndicated,Not Syndicated"</formula1>
    </dataValidation>
    <dataValidation type="list" allowBlank="1" showInputMessage="1" showErrorMessage="1" sqref="D45" xr:uid="{00000000-0002-0000-0700-000002000000}">
      <formula1>"Limited Partnership, Limited Liability Corporation"</formula1>
    </dataValidation>
    <dataValidation type="list" allowBlank="1" showInputMessage="1" showErrorMessage="1" sqref="D44 D27 D12 J12 J43 G189 D64 D77 D90 D105 D118" xr:uid="{00000000-0002-0000-0700-000003000000}">
      <formula1>"For-Profit,Non-Profit 501(C)(3),Non-Profit 501(C)(4),Non-Profit 501(C)(5),Government"</formula1>
    </dataValidation>
    <dataValidation type="list" allowBlank="1" showInputMessage="1" showErrorMessage="1" sqref="D65 D78 D91 D106 D119" xr:uid="{00000000-0002-0000-0700-000004000000}">
      <formula1>"General Partner,Managing Member,Other"</formula1>
    </dataValidation>
  </dataValidations>
  <pageMargins left="0.7" right="0.7" top="0.75" bottom="0.75" header="0.3" footer="0.3"/>
  <pageSetup scale="36" orientation="portrait" r:id="rId1"/>
  <colBreaks count="1" manualBreakCount="1">
    <brk id="14" max="1048575"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141"/>
  <sheetViews>
    <sheetView zoomScaleNormal="100" workbookViewId="0">
      <selection activeCell="C1" sqref="C1"/>
    </sheetView>
  </sheetViews>
  <sheetFormatPr defaultColWidth="9" defaultRowHeight="14.25" customHeight="1" x14ac:dyDescent="0.25"/>
  <cols>
    <col min="1" max="1" width="7.59765625" style="5" customWidth="1"/>
    <col min="2" max="2" width="32" style="5" customWidth="1"/>
    <col min="3" max="3" width="22.19921875" style="5" customWidth="1"/>
    <col min="4" max="4" width="12.09765625" style="5" customWidth="1"/>
    <col min="5" max="5" width="8.69921875" style="5" customWidth="1"/>
    <col min="6" max="6" width="9.5" style="5" customWidth="1"/>
    <col min="7" max="7" width="11" style="5" bestFit="1" customWidth="1"/>
    <col min="8" max="8" width="15.19921875" style="5" customWidth="1"/>
    <col min="9" max="9" width="17" style="5" customWidth="1"/>
    <col min="10" max="10" width="9.59765625" style="5" customWidth="1"/>
    <col min="11" max="11" width="16.19921875" style="5" customWidth="1"/>
    <col min="12" max="12" width="21.19921875" style="5" customWidth="1"/>
    <col min="13" max="13" width="21.59765625" style="5" bestFit="1" customWidth="1"/>
    <col min="14" max="14" width="18.8984375" style="5" customWidth="1"/>
    <col min="15" max="15" width="16.8984375" style="5" customWidth="1"/>
    <col min="16" max="16384" width="9" style="138"/>
  </cols>
  <sheetData>
    <row r="1" spans="1:16" ht="54.9" customHeight="1" x14ac:dyDescent="0.25"/>
    <row r="2" spans="1:16" s="139" customFormat="1" ht="23.4" x14ac:dyDescent="0.4">
      <c r="A2" s="3" t="s">
        <v>1642</v>
      </c>
      <c r="B2" s="1"/>
      <c r="C2" s="1"/>
      <c r="D2" s="1"/>
      <c r="E2" s="1"/>
      <c r="F2" s="1"/>
      <c r="G2" s="1"/>
      <c r="H2" s="1"/>
      <c r="I2" s="1"/>
      <c r="J2" s="1"/>
      <c r="K2" s="1"/>
      <c r="L2" s="1"/>
      <c r="M2" s="1"/>
      <c r="N2" s="1"/>
      <c r="O2" s="1"/>
    </row>
    <row r="3" spans="1:16" s="140" customFormat="1" ht="15" x14ac:dyDescent="0.25">
      <c r="A3" s="4" t="s">
        <v>1108</v>
      </c>
      <c r="B3" s="35">
        <f>'Project Details'!C7</f>
        <v>0</v>
      </c>
      <c r="C3" s="35"/>
      <c r="D3" s="36"/>
      <c r="E3" s="2"/>
      <c r="F3" s="2"/>
      <c r="G3" s="2"/>
      <c r="H3" s="2"/>
      <c r="I3" s="2"/>
      <c r="J3" s="2"/>
      <c r="K3" s="2"/>
      <c r="L3" s="2"/>
      <c r="M3" s="2"/>
      <c r="N3" s="2"/>
      <c r="O3" s="2"/>
    </row>
    <row r="4" spans="1:16" ht="15" customHeight="1" x14ac:dyDescent="0.25">
      <c r="A4" s="848"/>
      <c r="B4" s="848"/>
      <c r="C4" s="848"/>
      <c r="D4" s="848"/>
      <c r="E4" s="848"/>
      <c r="F4" s="848"/>
      <c r="G4" s="848"/>
      <c r="H4" s="848"/>
      <c r="I4" s="848"/>
      <c r="J4" s="848"/>
      <c r="K4" s="848"/>
      <c r="L4" s="848"/>
      <c r="M4" s="848"/>
      <c r="N4" s="848"/>
      <c r="O4" s="24"/>
      <c r="P4" s="141"/>
    </row>
    <row r="5" spans="1:16" ht="15" customHeight="1" x14ac:dyDescent="0.25">
      <c r="A5" s="847" t="s">
        <v>4898</v>
      </c>
      <c r="B5" s="847"/>
      <c r="C5" s="847"/>
      <c r="D5" s="847"/>
      <c r="E5" s="847"/>
      <c r="F5" s="847"/>
      <c r="G5" s="847"/>
      <c r="H5" s="847"/>
      <c r="I5" s="847"/>
      <c r="J5" s="847"/>
      <c r="K5" s="847"/>
      <c r="L5" s="847"/>
      <c r="M5" s="847"/>
      <c r="N5" s="44"/>
      <c r="O5" s="24"/>
      <c r="P5" s="141"/>
    </row>
    <row r="6" spans="1:16" ht="15" customHeight="1" x14ac:dyDescent="0.25">
      <c r="A6" s="846" t="s">
        <v>4914</v>
      </c>
      <c r="B6" s="846"/>
      <c r="C6" s="846"/>
      <c r="D6" s="846"/>
      <c r="E6" s="846"/>
      <c r="F6" s="846"/>
      <c r="G6" s="846"/>
      <c r="H6" s="846"/>
      <c r="I6" s="846"/>
      <c r="J6" s="846"/>
      <c r="K6" s="846"/>
      <c r="L6" s="846"/>
      <c r="M6" s="846"/>
      <c r="N6" s="44"/>
      <c r="O6" s="24"/>
      <c r="P6" s="141"/>
    </row>
    <row r="7" spans="1:16" ht="15" customHeight="1" x14ac:dyDescent="0.25">
      <c r="A7" s="846" t="s">
        <v>4915</v>
      </c>
      <c r="B7" s="846"/>
      <c r="C7" s="846"/>
      <c r="D7" s="846"/>
      <c r="E7" s="846"/>
      <c r="F7" s="846"/>
      <c r="G7" s="846"/>
      <c r="H7" s="846"/>
      <c r="I7" s="846"/>
      <c r="J7" s="846"/>
      <c r="K7" s="846"/>
      <c r="L7" s="846"/>
      <c r="M7" s="846"/>
      <c r="N7" s="44"/>
      <c r="O7" s="24"/>
      <c r="P7" s="141"/>
    </row>
    <row r="8" spans="1:16" ht="15" customHeight="1" x14ac:dyDescent="0.25">
      <c r="A8" s="846"/>
      <c r="B8" s="846"/>
      <c r="C8" s="846"/>
      <c r="D8" s="846"/>
      <c r="E8" s="846"/>
      <c r="F8" s="846"/>
      <c r="G8" s="846"/>
      <c r="H8" s="846"/>
      <c r="I8" s="846"/>
      <c r="J8" s="846"/>
      <c r="K8" s="846"/>
      <c r="L8" s="846"/>
      <c r="M8" s="846"/>
      <c r="N8" s="44"/>
      <c r="O8" s="24"/>
      <c r="P8" s="141"/>
    </row>
    <row r="9" spans="1:16" ht="15" customHeight="1" x14ac:dyDescent="0.25">
      <c r="A9" s="609"/>
      <c r="B9" s="609"/>
      <c r="C9" s="609"/>
      <c r="D9" s="609"/>
      <c r="E9" s="609"/>
      <c r="F9" s="609"/>
      <c r="G9" s="609"/>
      <c r="H9" s="609"/>
      <c r="I9" s="609"/>
      <c r="J9" s="609"/>
      <c r="K9" s="609"/>
      <c r="L9" s="44"/>
      <c r="M9" s="44"/>
      <c r="N9" s="44"/>
      <c r="O9" s="24"/>
      <c r="P9" s="141"/>
    </row>
    <row r="10" spans="1:16" ht="15" customHeight="1" x14ac:dyDescent="0.25">
      <c r="A10" s="847" t="s">
        <v>4916</v>
      </c>
      <c r="B10" s="847"/>
      <c r="C10" s="847"/>
      <c r="D10" s="847"/>
      <c r="E10" s="847"/>
      <c r="F10" s="847"/>
      <c r="G10" s="847"/>
      <c r="H10" s="847"/>
      <c r="I10" s="847"/>
      <c r="J10" s="847"/>
      <c r="K10" s="847"/>
      <c r="L10" s="847"/>
      <c r="M10" s="24"/>
      <c r="N10" s="24"/>
      <c r="O10" s="24"/>
      <c r="P10" s="141"/>
    </row>
    <row r="11" spans="1:16" ht="15" customHeight="1" x14ac:dyDescent="0.25">
      <c r="A11" s="847"/>
      <c r="B11" s="847"/>
      <c r="C11" s="847"/>
      <c r="D11" s="847"/>
      <c r="E11" s="847"/>
      <c r="F11" s="847"/>
      <c r="G11" s="847"/>
      <c r="H11" s="847"/>
      <c r="I11" s="847"/>
      <c r="J11" s="847"/>
      <c r="K11" s="847"/>
      <c r="L11" s="847"/>
      <c r="M11" s="24"/>
      <c r="N11" s="24"/>
      <c r="O11" s="24"/>
      <c r="P11" s="141"/>
    </row>
    <row r="12" spans="1:16" ht="15" customHeight="1" x14ac:dyDescent="0.25">
      <c r="A12" s="609"/>
      <c r="B12" s="609"/>
      <c r="C12" s="609"/>
      <c r="D12" s="609"/>
      <c r="E12" s="609"/>
      <c r="F12" s="609"/>
      <c r="G12" s="609"/>
      <c r="H12" s="609"/>
      <c r="I12" s="609"/>
      <c r="J12" s="609"/>
      <c r="K12" s="609"/>
      <c r="L12" s="24"/>
      <c r="M12" s="24"/>
      <c r="N12" s="24"/>
      <c r="O12" s="24"/>
      <c r="P12" s="141"/>
    </row>
    <row r="13" spans="1:16" ht="14.25" customHeight="1" x14ac:dyDescent="0.3">
      <c r="A13" s="6" t="s">
        <v>4897</v>
      </c>
    </row>
    <row r="14" spans="1:16" ht="14.25" customHeight="1" x14ac:dyDescent="0.25">
      <c r="A14" s="78" t="str">
        <f>IF('Development Team'!D6="","None Listed on Development Team Tab",'Development Team'!D6)</f>
        <v>None Listed on Development Team Tab</v>
      </c>
    </row>
    <row r="15" spans="1:16" ht="14.25" customHeight="1" x14ac:dyDescent="0.25">
      <c r="A15" s="78"/>
      <c r="B15" s="5" t="s">
        <v>718</v>
      </c>
      <c r="D15" s="111"/>
      <c r="F15" s="5" t="str">
        <f>IF(D15="Yes","Describe:","")</f>
        <v/>
      </c>
      <c r="G15" s="849"/>
      <c r="H15" s="849"/>
      <c r="I15" s="849"/>
      <c r="J15" s="849"/>
      <c r="K15" s="849"/>
    </row>
    <row r="16" spans="1:16" ht="14.25" customHeight="1" x14ac:dyDescent="0.25">
      <c r="A16" s="78"/>
      <c r="B16" s="5" t="s">
        <v>1489</v>
      </c>
      <c r="D16" s="111"/>
      <c r="G16" s="251"/>
      <c r="H16" s="251"/>
      <c r="I16" s="251"/>
      <c r="J16" s="251"/>
      <c r="K16" s="251"/>
    </row>
    <row r="17" spans="1:15" ht="14.25" customHeight="1" x14ac:dyDescent="0.25">
      <c r="A17" s="78"/>
      <c r="B17" s="5" t="s">
        <v>1595</v>
      </c>
      <c r="D17" s="111"/>
      <c r="G17" s="251"/>
      <c r="H17" s="251"/>
      <c r="I17" s="251"/>
      <c r="J17" s="251"/>
      <c r="K17" s="251"/>
    </row>
    <row r="18" spans="1:15" ht="14.25" customHeight="1" x14ac:dyDescent="0.25">
      <c r="A18" s="78"/>
      <c r="D18" s="586"/>
      <c r="G18" s="251"/>
      <c r="H18" s="251"/>
      <c r="I18" s="251"/>
      <c r="J18" s="251"/>
      <c r="K18" s="251"/>
    </row>
    <row r="19" spans="1:15" ht="14.25" customHeight="1" x14ac:dyDescent="0.25">
      <c r="A19" s="78"/>
    </row>
    <row r="20" spans="1:15" s="142" customFormat="1" ht="41.4" x14ac:dyDescent="0.25">
      <c r="A20" s="22"/>
      <c r="B20" s="52" t="s">
        <v>709</v>
      </c>
      <c r="C20" s="52" t="s">
        <v>710</v>
      </c>
      <c r="D20" s="52" t="s">
        <v>113</v>
      </c>
      <c r="E20" s="52" t="s">
        <v>9</v>
      </c>
      <c r="F20" s="52" t="s">
        <v>114</v>
      </c>
      <c r="G20" s="52" t="s">
        <v>711</v>
      </c>
      <c r="H20" s="52" t="s">
        <v>719</v>
      </c>
      <c r="I20" s="52" t="s">
        <v>156</v>
      </c>
      <c r="J20" s="52" t="s">
        <v>152</v>
      </c>
      <c r="K20" s="52" t="s">
        <v>712</v>
      </c>
      <c r="L20" s="52" t="s">
        <v>166</v>
      </c>
      <c r="M20" s="52" t="s">
        <v>713</v>
      </c>
      <c r="N20" s="52" t="s">
        <v>714</v>
      </c>
      <c r="O20" s="20"/>
    </row>
    <row r="21" spans="1:15" ht="14.25" customHeight="1" x14ac:dyDescent="0.25">
      <c r="A21" s="48"/>
      <c r="B21" s="118"/>
      <c r="C21" s="118"/>
      <c r="D21" s="118"/>
      <c r="E21" s="118"/>
      <c r="F21" s="118"/>
      <c r="G21" s="93"/>
      <c r="H21" s="118"/>
      <c r="I21" s="137"/>
      <c r="J21" s="118"/>
      <c r="K21" s="137"/>
      <c r="L21" s="137"/>
      <c r="M21" s="137"/>
      <c r="N21" s="137"/>
    </row>
    <row r="22" spans="1:15" ht="14.25" customHeight="1" x14ac:dyDescent="0.25">
      <c r="A22" s="48"/>
      <c r="B22" s="118"/>
      <c r="C22" s="118"/>
      <c r="D22" s="118"/>
      <c r="E22" s="118"/>
      <c r="F22" s="118"/>
      <c r="G22" s="93"/>
      <c r="H22" s="118"/>
      <c r="I22" s="137"/>
      <c r="J22" s="118"/>
      <c r="K22" s="137"/>
      <c r="L22" s="137"/>
      <c r="M22" s="137"/>
      <c r="N22" s="137"/>
    </row>
    <row r="23" spans="1:15" ht="14.25" customHeight="1" x14ac:dyDescent="0.25">
      <c r="A23" s="48"/>
      <c r="B23" s="118"/>
      <c r="C23" s="118"/>
      <c r="D23" s="118"/>
      <c r="E23" s="118"/>
      <c r="F23" s="118"/>
      <c r="G23" s="93"/>
      <c r="H23" s="118"/>
      <c r="I23" s="137"/>
      <c r="J23" s="118"/>
      <c r="K23" s="137"/>
      <c r="L23" s="137"/>
      <c r="M23" s="137"/>
      <c r="N23" s="137"/>
    </row>
    <row r="24" spans="1:15" ht="14.25" customHeight="1" x14ac:dyDescent="0.25">
      <c r="A24" s="48"/>
      <c r="B24" s="118"/>
      <c r="C24" s="118"/>
      <c r="D24" s="118"/>
      <c r="E24" s="118"/>
      <c r="F24" s="118"/>
      <c r="G24" s="93"/>
      <c r="H24" s="118"/>
      <c r="I24" s="137"/>
      <c r="J24" s="118"/>
      <c r="K24" s="137"/>
      <c r="L24" s="137"/>
      <c r="M24" s="137"/>
      <c r="N24" s="137"/>
    </row>
    <row r="25" spans="1:15" ht="14.25" customHeight="1" x14ac:dyDescent="0.25">
      <c r="A25" s="48"/>
      <c r="B25" s="118"/>
      <c r="C25" s="118"/>
      <c r="D25" s="118"/>
      <c r="E25" s="118"/>
      <c r="F25" s="118"/>
      <c r="G25" s="93"/>
      <c r="H25" s="118"/>
      <c r="I25" s="137"/>
      <c r="J25" s="118"/>
      <c r="K25" s="137"/>
      <c r="L25" s="137"/>
      <c r="M25" s="137"/>
      <c r="N25" s="137"/>
    </row>
    <row r="26" spans="1:15" ht="14.25" customHeight="1" x14ac:dyDescent="0.25">
      <c r="A26" s="48"/>
    </row>
    <row r="27" spans="1:15" ht="14.25" customHeight="1" x14ac:dyDescent="0.25">
      <c r="A27" s="48"/>
      <c r="B27" s="850" t="s">
        <v>1643</v>
      </c>
      <c r="C27" s="850"/>
      <c r="D27" s="850"/>
      <c r="E27" s="850"/>
      <c r="F27" s="850"/>
      <c r="G27" s="850"/>
      <c r="H27" s="850"/>
      <c r="I27" s="850"/>
      <c r="J27" s="850"/>
      <c r="K27" s="850"/>
    </row>
    <row r="28" spans="1:15" ht="53.25" customHeight="1" x14ac:dyDescent="0.25">
      <c r="A28" s="48"/>
      <c r="B28" s="844"/>
      <c r="C28" s="844"/>
      <c r="D28" s="844"/>
      <c r="E28" s="844"/>
      <c r="F28" s="844"/>
      <c r="G28" s="844"/>
      <c r="H28" s="844"/>
      <c r="I28" s="844"/>
      <c r="J28" s="844"/>
      <c r="K28" s="844"/>
    </row>
    <row r="29" spans="1:15" ht="14.25" customHeight="1" x14ac:dyDescent="0.25">
      <c r="A29" s="48"/>
    </row>
    <row r="30" spans="1:15" ht="14.25" customHeight="1" x14ac:dyDescent="0.3">
      <c r="A30" s="80" t="s">
        <v>708</v>
      </c>
    </row>
    <row r="31" spans="1:15" ht="14.25" customHeight="1" x14ac:dyDescent="0.25">
      <c r="A31" s="53" t="str">
        <f>IF('Development Team'!J6="","None Listed on Development Team Tab",'Development Team'!J6)</f>
        <v>None Listed on Development Team Tab</v>
      </c>
    </row>
    <row r="32" spans="1:15" ht="14.25" customHeight="1" x14ac:dyDescent="0.25">
      <c r="A32" s="78"/>
      <c r="B32" s="5" t="s">
        <v>718</v>
      </c>
      <c r="D32" s="111"/>
      <c r="F32" s="5" t="str">
        <f>IF(D32="Yes","Describe:","")</f>
        <v/>
      </c>
      <c r="G32" s="849"/>
      <c r="H32" s="849"/>
      <c r="I32" s="849"/>
      <c r="J32" s="849"/>
      <c r="K32" s="849"/>
    </row>
    <row r="33" spans="1:15" ht="14.25" customHeight="1" x14ac:dyDescent="0.25">
      <c r="A33" s="78"/>
      <c r="B33" s="5" t="s">
        <v>1489</v>
      </c>
      <c r="D33" s="111"/>
      <c r="G33" s="251"/>
      <c r="H33" s="251"/>
      <c r="I33" s="251"/>
      <c r="J33" s="251"/>
      <c r="K33" s="251"/>
    </row>
    <row r="34" spans="1:15" ht="14.25" customHeight="1" x14ac:dyDescent="0.25">
      <c r="A34" s="78"/>
      <c r="B34" s="5" t="s">
        <v>1490</v>
      </c>
      <c r="D34" s="111"/>
      <c r="G34" s="251"/>
      <c r="H34" s="251"/>
      <c r="I34" s="251"/>
      <c r="J34" s="251"/>
      <c r="K34" s="251"/>
    </row>
    <row r="35" spans="1:15" ht="14.25" customHeight="1" x14ac:dyDescent="0.25">
      <c r="A35" s="78"/>
    </row>
    <row r="36" spans="1:15" s="142" customFormat="1" ht="41.4" x14ac:dyDescent="0.25">
      <c r="A36" s="22"/>
      <c r="B36" s="52" t="s">
        <v>709</v>
      </c>
      <c r="C36" s="52" t="s">
        <v>710</v>
      </c>
      <c r="D36" s="52" t="s">
        <v>113</v>
      </c>
      <c r="E36" s="52" t="s">
        <v>9</v>
      </c>
      <c r="F36" s="52" t="s">
        <v>114</v>
      </c>
      <c r="G36" s="52" t="s">
        <v>711</v>
      </c>
      <c r="H36" s="52" t="s">
        <v>719</v>
      </c>
      <c r="I36" s="52" t="s">
        <v>156</v>
      </c>
      <c r="J36" s="52" t="s">
        <v>152</v>
      </c>
      <c r="K36" s="52" t="s">
        <v>712</v>
      </c>
      <c r="L36" s="52" t="s">
        <v>166</v>
      </c>
      <c r="M36" s="52" t="s">
        <v>713</v>
      </c>
      <c r="N36" s="52" t="s">
        <v>714</v>
      </c>
      <c r="O36" s="20"/>
    </row>
    <row r="37" spans="1:15" ht="14.25" customHeight="1" x14ac:dyDescent="0.25">
      <c r="A37" s="48"/>
      <c r="B37" s="118"/>
      <c r="C37" s="118"/>
      <c r="D37" s="118"/>
      <c r="E37" s="118"/>
      <c r="F37" s="118"/>
      <c r="G37" s="93"/>
      <c r="H37" s="118"/>
      <c r="I37" s="137"/>
      <c r="J37" s="118"/>
      <c r="K37" s="137"/>
      <c r="L37" s="137"/>
      <c r="M37" s="137"/>
      <c r="N37" s="137"/>
    </row>
    <row r="38" spans="1:15" ht="14.25" customHeight="1" x14ac:dyDescent="0.25">
      <c r="A38" s="48"/>
      <c r="B38" s="118"/>
      <c r="C38" s="118"/>
      <c r="D38" s="118"/>
      <c r="E38" s="118"/>
      <c r="F38" s="118"/>
      <c r="G38" s="93"/>
      <c r="H38" s="118"/>
      <c r="I38" s="137"/>
      <c r="J38" s="118"/>
      <c r="K38" s="137"/>
      <c r="L38" s="137"/>
      <c r="M38" s="137"/>
      <c r="N38" s="137"/>
    </row>
    <row r="39" spans="1:15" ht="14.25" customHeight="1" x14ac:dyDescent="0.25">
      <c r="A39" s="48"/>
      <c r="B39" s="118"/>
      <c r="C39" s="118"/>
      <c r="D39" s="118"/>
      <c r="E39" s="118"/>
      <c r="F39" s="118"/>
      <c r="G39" s="93"/>
      <c r="H39" s="118"/>
      <c r="I39" s="137"/>
      <c r="J39" s="118"/>
      <c r="K39" s="137"/>
      <c r="L39" s="137"/>
      <c r="M39" s="137"/>
      <c r="N39" s="137"/>
    </row>
    <row r="40" spans="1:15" ht="14.25" customHeight="1" x14ac:dyDescent="0.25">
      <c r="A40" s="48"/>
      <c r="B40" s="118"/>
      <c r="C40" s="118"/>
      <c r="D40" s="118"/>
      <c r="E40" s="118"/>
      <c r="F40" s="118"/>
      <c r="G40" s="93"/>
      <c r="H40" s="118"/>
      <c r="I40" s="137"/>
      <c r="J40" s="118"/>
      <c r="K40" s="137"/>
      <c r="L40" s="137"/>
      <c r="M40" s="137"/>
      <c r="N40" s="137"/>
    </row>
    <row r="41" spans="1:15" ht="14.25" customHeight="1" x14ac:dyDescent="0.25">
      <c r="A41" s="48"/>
      <c r="B41" s="118"/>
      <c r="C41" s="118"/>
      <c r="D41" s="118"/>
      <c r="E41" s="118"/>
      <c r="F41" s="118"/>
      <c r="G41" s="93"/>
      <c r="H41" s="118"/>
      <c r="I41" s="137"/>
      <c r="J41" s="118"/>
      <c r="K41" s="137"/>
      <c r="L41" s="137"/>
      <c r="M41" s="137"/>
      <c r="N41" s="137"/>
    </row>
    <row r="42" spans="1:15" ht="14.25" customHeight="1" x14ac:dyDescent="0.3">
      <c r="A42" s="80"/>
    </row>
    <row r="43" spans="1:15" ht="14.25" customHeight="1" x14ac:dyDescent="0.3">
      <c r="A43" s="80" t="s">
        <v>7923</v>
      </c>
    </row>
    <row r="44" spans="1:15" ht="14.25" customHeight="1" x14ac:dyDescent="0.25">
      <c r="A44" s="53" t="str">
        <f>IF('Development Team'!D69="","None Listed on Development Team Tab",'Development Team'!D69)</f>
        <v>None Listed on Development Team Tab</v>
      </c>
    </row>
    <row r="45" spans="1:15" ht="14.25" customHeight="1" x14ac:dyDescent="0.25">
      <c r="A45" s="78"/>
      <c r="B45" s="5" t="s">
        <v>718</v>
      </c>
      <c r="D45" s="111"/>
      <c r="F45" s="5" t="str">
        <f>IF(D45="Yes","Describe:","")</f>
        <v/>
      </c>
      <c r="G45" s="849"/>
      <c r="H45" s="849"/>
      <c r="I45" s="849"/>
      <c r="J45" s="849"/>
      <c r="K45" s="849"/>
    </row>
    <row r="46" spans="1:15" ht="14.25" customHeight="1" x14ac:dyDescent="0.25">
      <c r="A46" s="78"/>
      <c r="B46" s="5" t="s">
        <v>1489</v>
      </c>
      <c r="D46" s="111"/>
    </row>
    <row r="47" spans="1:15" ht="14.25" customHeight="1" x14ac:dyDescent="0.25">
      <c r="A47" s="78"/>
      <c r="B47" s="5" t="s">
        <v>1490</v>
      </c>
      <c r="D47" s="111"/>
    </row>
    <row r="48" spans="1:15" ht="14.25" customHeight="1" x14ac:dyDescent="0.25">
      <c r="A48" s="78"/>
    </row>
    <row r="49" spans="1:15" s="142" customFormat="1" ht="41.4" x14ac:dyDescent="0.3">
      <c r="A49" s="81"/>
      <c r="B49" s="52" t="s">
        <v>709</v>
      </c>
      <c r="C49" s="52" t="s">
        <v>710</v>
      </c>
      <c r="D49" s="52" t="s">
        <v>113</v>
      </c>
      <c r="E49" s="52" t="s">
        <v>9</v>
      </c>
      <c r="F49" s="52" t="s">
        <v>114</v>
      </c>
      <c r="G49" s="52" t="s">
        <v>711</v>
      </c>
      <c r="H49" s="52" t="s">
        <v>719</v>
      </c>
      <c r="I49" s="52" t="s">
        <v>156</v>
      </c>
      <c r="J49" s="52" t="s">
        <v>152</v>
      </c>
      <c r="K49" s="52" t="s">
        <v>712</v>
      </c>
      <c r="L49" s="52" t="s">
        <v>166</v>
      </c>
      <c r="M49" s="52" t="s">
        <v>713</v>
      </c>
      <c r="N49" s="52" t="s">
        <v>714</v>
      </c>
      <c r="O49" s="20"/>
    </row>
    <row r="50" spans="1:15" ht="14.25" customHeight="1" x14ac:dyDescent="0.3">
      <c r="A50" s="80"/>
      <c r="B50" s="118"/>
      <c r="C50" s="118"/>
      <c r="D50" s="118"/>
      <c r="E50" s="118"/>
      <c r="F50" s="118"/>
      <c r="G50" s="93"/>
      <c r="H50" s="118"/>
      <c r="I50" s="137"/>
      <c r="J50" s="118"/>
      <c r="K50" s="137"/>
      <c r="L50" s="137"/>
      <c r="M50" s="137"/>
      <c r="N50" s="137"/>
    </row>
    <row r="51" spans="1:15" ht="14.25" customHeight="1" x14ac:dyDescent="0.3">
      <c r="A51" s="80"/>
      <c r="B51" s="118"/>
      <c r="C51" s="118"/>
      <c r="D51" s="118"/>
      <c r="E51" s="118"/>
      <c r="F51" s="118"/>
      <c r="G51" s="93"/>
      <c r="H51" s="118"/>
      <c r="I51" s="137"/>
      <c r="J51" s="118"/>
      <c r="K51" s="137"/>
      <c r="L51" s="137"/>
      <c r="M51" s="137"/>
      <c r="N51" s="137"/>
    </row>
    <row r="52" spans="1:15" ht="14.25" customHeight="1" x14ac:dyDescent="0.3">
      <c r="A52" s="80"/>
      <c r="B52" s="118"/>
      <c r="C52" s="118"/>
      <c r="D52" s="118"/>
      <c r="E52" s="118"/>
      <c r="F52" s="118"/>
      <c r="G52" s="93"/>
      <c r="H52" s="118"/>
      <c r="I52" s="137"/>
      <c r="J52" s="118"/>
      <c r="K52" s="137"/>
      <c r="L52" s="137"/>
      <c r="M52" s="137"/>
      <c r="N52" s="137"/>
    </row>
    <row r="53" spans="1:15" ht="14.25" customHeight="1" x14ac:dyDescent="0.3">
      <c r="A53" s="80"/>
      <c r="B53" s="118"/>
      <c r="C53" s="118"/>
      <c r="D53" s="118"/>
      <c r="E53" s="118"/>
      <c r="F53" s="118"/>
      <c r="G53" s="93"/>
      <c r="H53" s="118"/>
      <c r="I53" s="137"/>
      <c r="J53" s="118"/>
      <c r="K53" s="137"/>
      <c r="L53" s="137"/>
      <c r="M53" s="137"/>
      <c r="N53" s="137"/>
    </row>
    <row r="54" spans="1:15" ht="14.25" customHeight="1" x14ac:dyDescent="0.3">
      <c r="A54" s="80"/>
      <c r="B54" s="118"/>
      <c r="C54" s="118"/>
      <c r="D54" s="118"/>
      <c r="E54" s="118"/>
      <c r="F54" s="118"/>
      <c r="G54" s="93"/>
      <c r="H54" s="118"/>
      <c r="I54" s="137"/>
      <c r="J54" s="118"/>
      <c r="K54" s="137"/>
      <c r="L54" s="137"/>
      <c r="M54" s="137"/>
      <c r="N54" s="137"/>
    </row>
    <row r="55" spans="1:15" ht="14.25" customHeight="1" x14ac:dyDescent="0.3">
      <c r="A55" s="80"/>
    </row>
    <row r="56" spans="1:15" ht="14.25" customHeight="1" x14ac:dyDescent="0.3">
      <c r="A56" s="80" t="s">
        <v>7924</v>
      </c>
    </row>
    <row r="57" spans="1:15" ht="14.25" customHeight="1" x14ac:dyDescent="0.25">
      <c r="A57" s="53" t="str">
        <f>IF('Development Team'!D82="","None Listed on Development Team Tab",'Development Team'!D82)</f>
        <v>None Listed on Development Team Tab</v>
      </c>
    </row>
    <row r="58" spans="1:15" ht="14.25" customHeight="1" x14ac:dyDescent="0.25">
      <c r="A58" s="78"/>
      <c r="B58" s="5" t="s">
        <v>718</v>
      </c>
      <c r="D58" s="111"/>
      <c r="F58" s="5" t="str">
        <f>IF(D58="Yes","Describe:","")</f>
        <v/>
      </c>
      <c r="G58" s="849"/>
      <c r="H58" s="849"/>
      <c r="I58" s="849"/>
      <c r="J58" s="849"/>
      <c r="K58" s="849"/>
    </row>
    <row r="59" spans="1:15" ht="14.25" customHeight="1" x14ac:dyDescent="0.25">
      <c r="A59" s="78"/>
      <c r="B59" s="5" t="s">
        <v>1489</v>
      </c>
      <c r="D59" s="111"/>
      <c r="G59" s="251"/>
      <c r="H59" s="251"/>
      <c r="I59" s="251"/>
      <c r="J59" s="251"/>
      <c r="K59" s="251"/>
    </row>
    <row r="60" spans="1:15" ht="14.25" customHeight="1" x14ac:dyDescent="0.25">
      <c r="A60" s="78"/>
      <c r="B60" s="5" t="s">
        <v>1490</v>
      </c>
      <c r="D60" s="111"/>
      <c r="G60" s="251"/>
      <c r="H60" s="251"/>
      <c r="I60" s="251"/>
      <c r="J60" s="251"/>
      <c r="K60" s="251"/>
    </row>
    <row r="61" spans="1:15" ht="14.25" customHeight="1" x14ac:dyDescent="0.25">
      <c r="A61" s="78"/>
    </row>
    <row r="62" spans="1:15" s="142" customFormat="1" ht="41.4" x14ac:dyDescent="0.3">
      <c r="A62" s="81"/>
      <c r="B62" s="52" t="s">
        <v>709</v>
      </c>
      <c r="C62" s="52" t="s">
        <v>710</v>
      </c>
      <c r="D62" s="52" t="s">
        <v>113</v>
      </c>
      <c r="E62" s="52" t="s">
        <v>9</v>
      </c>
      <c r="F62" s="52" t="s">
        <v>114</v>
      </c>
      <c r="G62" s="52" t="s">
        <v>711</v>
      </c>
      <c r="H62" s="52" t="s">
        <v>719</v>
      </c>
      <c r="I62" s="52" t="s">
        <v>156</v>
      </c>
      <c r="J62" s="52" t="s">
        <v>152</v>
      </c>
      <c r="K62" s="52" t="s">
        <v>712</v>
      </c>
      <c r="L62" s="52" t="s">
        <v>166</v>
      </c>
      <c r="M62" s="52" t="s">
        <v>713</v>
      </c>
      <c r="N62" s="52" t="s">
        <v>714</v>
      </c>
      <c r="O62" s="20"/>
    </row>
    <row r="63" spans="1:15" ht="14.25" customHeight="1" x14ac:dyDescent="0.3">
      <c r="A63" s="80"/>
      <c r="B63" s="118"/>
      <c r="C63" s="118"/>
      <c r="D63" s="118"/>
      <c r="E63" s="118"/>
      <c r="F63" s="118"/>
      <c r="G63" s="93"/>
      <c r="H63" s="118"/>
      <c r="I63" s="137"/>
      <c r="J63" s="118"/>
      <c r="K63" s="137"/>
      <c r="L63" s="137"/>
      <c r="M63" s="137"/>
      <c r="N63" s="137"/>
    </row>
    <row r="64" spans="1:15" ht="14.25" customHeight="1" x14ac:dyDescent="0.3">
      <c r="A64" s="80"/>
      <c r="B64" s="118"/>
      <c r="C64" s="118"/>
      <c r="D64" s="118"/>
      <c r="E64" s="118"/>
      <c r="F64" s="118"/>
      <c r="G64" s="93"/>
      <c r="H64" s="118"/>
      <c r="I64" s="137"/>
      <c r="J64" s="118"/>
      <c r="K64" s="137"/>
      <c r="L64" s="137"/>
      <c r="M64" s="137"/>
      <c r="N64" s="137"/>
    </row>
    <row r="65" spans="1:15" ht="14.25" customHeight="1" x14ac:dyDescent="0.3">
      <c r="A65" s="80"/>
      <c r="B65" s="118"/>
      <c r="C65" s="118"/>
      <c r="D65" s="118"/>
      <c r="E65" s="118"/>
      <c r="F65" s="118"/>
      <c r="G65" s="93"/>
      <c r="H65" s="118"/>
      <c r="I65" s="137"/>
      <c r="J65" s="118"/>
      <c r="K65" s="137"/>
      <c r="L65" s="137"/>
      <c r="M65" s="137"/>
      <c r="N65" s="137"/>
    </row>
    <row r="66" spans="1:15" ht="14.25" customHeight="1" x14ac:dyDescent="0.3">
      <c r="A66" s="80"/>
      <c r="B66" s="118"/>
      <c r="C66" s="118"/>
      <c r="D66" s="118"/>
      <c r="E66" s="118"/>
      <c r="F66" s="118"/>
      <c r="G66" s="93"/>
      <c r="H66" s="118"/>
      <c r="I66" s="137"/>
      <c r="J66" s="118"/>
      <c r="K66" s="137"/>
      <c r="L66" s="137"/>
      <c r="M66" s="137"/>
      <c r="N66" s="137"/>
    </row>
    <row r="67" spans="1:15" ht="14.25" customHeight="1" x14ac:dyDescent="0.3">
      <c r="A67" s="80"/>
      <c r="B67" s="118"/>
      <c r="C67" s="118"/>
      <c r="D67" s="118"/>
      <c r="E67" s="118"/>
      <c r="F67" s="118"/>
      <c r="G67" s="93"/>
      <c r="H67" s="118"/>
      <c r="I67" s="137"/>
      <c r="J67" s="118"/>
      <c r="K67" s="137"/>
      <c r="L67" s="137"/>
      <c r="M67" s="137"/>
      <c r="N67" s="137"/>
    </row>
    <row r="68" spans="1:15" ht="14.25" customHeight="1" x14ac:dyDescent="0.3">
      <c r="A68" s="80"/>
    </row>
    <row r="69" spans="1:15" ht="14.25" customHeight="1" x14ac:dyDescent="0.3">
      <c r="A69" s="80" t="s">
        <v>7925</v>
      </c>
    </row>
    <row r="70" spans="1:15" ht="14.25" customHeight="1" x14ac:dyDescent="0.25">
      <c r="A70" s="53" t="str">
        <f>IF('Development Team'!D95="","None Listed on Development Team Tab",'Development Team'!D95)</f>
        <v>None Listed on Development Team Tab</v>
      </c>
    </row>
    <row r="71" spans="1:15" ht="14.25" customHeight="1" x14ac:dyDescent="0.25">
      <c r="A71" s="78"/>
      <c r="B71" s="5" t="s">
        <v>718</v>
      </c>
      <c r="D71" s="111"/>
      <c r="F71" s="5" t="str">
        <f>IF(D71="Yes","Describe:","")</f>
        <v/>
      </c>
      <c r="G71" s="849"/>
      <c r="H71" s="849"/>
      <c r="I71" s="849"/>
      <c r="J71" s="849"/>
      <c r="K71" s="849"/>
    </row>
    <row r="72" spans="1:15" ht="14.25" customHeight="1" x14ac:dyDescent="0.25">
      <c r="A72" s="78"/>
      <c r="B72" s="5" t="s">
        <v>1489</v>
      </c>
      <c r="D72" s="111"/>
      <c r="G72" s="251"/>
      <c r="H72" s="251"/>
      <c r="I72" s="251"/>
      <c r="J72" s="251"/>
      <c r="K72" s="251"/>
    </row>
    <row r="73" spans="1:15" ht="14.25" customHeight="1" x14ac:dyDescent="0.25">
      <c r="A73" s="78"/>
      <c r="B73" s="5" t="s">
        <v>1490</v>
      </c>
      <c r="D73" s="111"/>
      <c r="G73" s="251"/>
      <c r="H73" s="251"/>
      <c r="I73" s="251"/>
      <c r="J73" s="251"/>
      <c r="K73" s="251"/>
    </row>
    <row r="74" spans="1:15" ht="14.25" customHeight="1" x14ac:dyDescent="0.25">
      <c r="A74" s="78"/>
    </row>
    <row r="75" spans="1:15" s="142" customFormat="1" ht="41.4" x14ac:dyDescent="0.3">
      <c r="A75" s="81"/>
      <c r="B75" s="52" t="s">
        <v>709</v>
      </c>
      <c r="C75" s="52" t="s">
        <v>710</v>
      </c>
      <c r="D75" s="52" t="s">
        <v>113</v>
      </c>
      <c r="E75" s="52" t="s">
        <v>9</v>
      </c>
      <c r="F75" s="52" t="s">
        <v>114</v>
      </c>
      <c r="G75" s="52" t="s">
        <v>711</v>
      </c>
      <c r="H75" s="52" t="s">
        <v>719</v>
      </c>
      <c r="I75" s="52" t="s">
        <v>156</v>
      </c>
      <c r="J75" s="52" t="s">
        <v>152</v>
      </c>
      <c r="K75" s="52" t="s">
        <v>712</v>
      </c>
      <c r="L75" s="52" t="s">
        <v>166</v>
      </c>
      <c r="M75" s="52" t="s">
        <v>713</v>
      </c>
      <c r="N75" s="52" t="s">
        <v>714</v>
      </c>
      <c r="O75" s="20"/>
    </row>
    <row r="76" spans="1:15" ht="14.25" customHeight="1" x14ac:dyDescent="0.3">
      <c r="A76" s="80"/>
      <c r="B76" s="118"/>
      <c r="C76" s="118"/>
      <c r="D76" s="118"/>
      <c r="E76" s="118"/>
      <c r="F76" s="118"/>
      <c r="G76" s="93"/>
      <c r="H76" s="118"/>
      <c r="I76" s="137"/>
      <c r="J76" s="118"/>
      <c r="K76" s="137"/>
      <c r="L76" s="137"/>
      <c r="M76" s="137"/>
      <c r="N76" s="137"/>
    </row>
    <row r="77" spans="1:15" ht="14.25" customHeight="1" x14ac:dyDescent="0.3">
      <c r="A77" s="80"/>
      <c r="B77" s="118"/>
      <c r="C77" s="118"/>
      <c r="D77" s="118"/>
      <c r="E77" s="118"/>
      <c r="F77" s="118"/>
      <c r="G77" s="93"/>
      <c r="H77" s="118"/>
      <c r="I77" s="137"/>
      <c r="J77" s="118"/>
      <c r="K77" s="137"/>
      <c r="L77" s="137"/>
      <c r="M77" s="137"/>
      <c r="N77" s="137"/>
    </row>
    <row r="78" spans="1:15" ht="14.25" customHeight="1" x14ac:dyDescent="0.3">
      <c r="A78" s="80"/>
      <c r="B78" s="118"/>
      <c r="C78" s="118"/>
      <c r="D78" s="118"/>
      <c r="E78" s="118"/>
      <c r="F78" s="118"/>
      <c r="G78" s="93"/>
      <c r="H78" s="118"/>
      <c r="I78" s="137"/>
      <c r="J78" s="118"/>
      <c r="K78" s="137"/>
      <c r="L78" s="137"/>
      <c r="M78" s="137"/>
      <c r="N78" s="137"/>
    </row>
    <row r="79" spans="1:15" ht="14.25" customHeight="1" x14ac:dyDescent="0.3">
      <c r="A79" s="80"/>
      <c r="B79" s="118"/>
      <c r="C79" s="118"/>
      <c r="D79" s="118"/>
      <c r="E79" s="118"/>
      <c r="F79" s="118"/>
      <c r="G79" s="93"/>
      <c r="H79" s="118"/>
      <c r="I79" s="137"/>
      <c r="J79" s="118"/>
      <c r="K79" s="137"/>
      <c r="L79" s="137"/>
      <c r="M79" s="137"/>
      <c r="N79" s="137"/>
    </row>
    <row r="80" spans="1:15" ht="14.25" customHeight="1" x14ac:dyDescent="0.3">
      <c r="A80" s="80"/>
      <c r="B80" s="118"/>
      <c r="C80" s="118"/>
      <c r="D80" s="118"/>
      <c r="E80" s="118"/>
      <c r="F80" s="118"/>
      <c r="G80" s="93"/>
      <c r="H80" s="118"/>
      <c r="I80" s="137"/>
      <c r="J80" s="118"/>
      <c r="K80" s="137"/>
      <c r="L80" s="137"/>
      <c r="M80" s="137"/>
      <c r="N80" s="137"/>
    </row>
    <row r="81" spans="1:15" ht="14.25" customHeight="1" x14ac:dyDescent="0.25">
      <c r="A81" s="48"/>
    </row>
    <row r="82" spans="1:15" ht="17.399999999999999" x14ac:dyDescent="0.3">
      <c r="A82" s="80" t="s">
        <v>1340</v>
      </c>
    </row>
    <row r="83" spans="1:15" ht="14.4" x14ac:dyDescent="0.3">
      <c r="A83" s="426" t="s">
        <v>1348</v>
      </c>
    </row>
    <row r="84" spans="1:15" ht="13.8" x14ac:dyDescent="0.25">
      <c r="A84" s="53" t="str">
        <f>IF('Development Team'!D173="","None Listed on Development Team Tab",'Development Team'!D173)</f>
        <v>None Listed on Development Team Tab</v>
      </c>
    </row>
    <row r="85" spans="1:15" ht="13.8" x14ac:dyDescent="0.25">
      <c r="A85" s="773" t="s">
        <v>1347</v>
      </c>
      <c r="B85" s="773"/>
      <c r="C85" s="773"/>
      <c r="D85" s="773"/>
      <c r="E85" s="773"/>
      <c r="F85" s="773"/>
      <c r="G85" s="773"/>
      <c r="H85" s="773"/>
      <c r="I85" s="773"/>
      <c r="J85" s="773"/>
      <c r="K85" s="773"/>
      <c r="L85" s="54"/>
      <c r="M85" s="54"/>
      <c r="N85" s="54"/>
    </row>
    <row r="86" spans="1:15" ht="14.25" customHeight="1" x14ac:dyDescent="0.3">
      <c r="A86" s="6" t="s">
        <v>716</v>
      </c>
    </row>
    <row r="87" spans="1:15" ht="14.25" customHeight="1" x14ac:dyDescent="0.25">
      <c r="A87" s="51"/>
      <c r="B87" s="5" t="s">
        <v>718</v>
      </c>
      <c r="D87" s="111"/>
      <c r="F87" s="5" t="str">
        <f>IF(D87="Yes","Describe:","")</f>
        <v/>
      </c>
      <c r="G87" s="849"/>
      <c r="H87" s="849"/>
      <c r="I87" s="849"/>
      <c r="J87" s="849"/>
      <c r="K87" s="849"/>
    </row>
    <row r="88" spans="1:15" ht="14.25" customHeight="1" x14ac:dyDescent="0.25">
      <c r="A88" s="51"/>
      <c r="B88" s="5" t="s">
        <v>1489</v>
      </c>
      <c r="D88" s="111"/>
      <c r="G88" s="251"/>
      <c r="H88" s="251"/>
      <c r="I88" s="251"/>
      <c r="J88" s="251"/>
      <c r="K88" s="251"/>
    </row>
    <row r="89" spans="1:15" ht="14.25" customHeight="1" x14ac:dyDescent="0.25">
      <c r="A89" s="51"/>
      <c r="B89" s="5" t="s">
        <v>1490</v>
      </c>
      <c r="D89" s="111"/>
      <c r="G89" s="251"/>
      <c r="H89" s="251"/>
      <c r="I89" s="251"/>
      <c r="J89" s="251"/>
      <c r="K89" s="251"/>
    </row>
    <row r="90" spans="1:15" ht="14.25" customHeight="1" x14ac:dyDescent="0.25">
      <c r="A90" s="51"/>
    </row>
    <row r="91" spans="1:15" s="142" customFormat="1" ht="41.4" x14ac:dyDescent="0.25">
      <c r="A91" s="20"/>
      <c r="B91" s="52" t="s">
        <v>717</v>
      </c>
      <c r="C91" s="52" t="s">
        <v>709</v>
      </c>
      <c r="D91" s="52" t="s">
        <v>710</v>
      </c>
      <c r="E91" s="52" t="s">
        <v>113</v>
      </c>
      <c r="F91" s="52" t="s">
        <v>9</v>
      </c>
      <c r="G91" s="52" t="s">
        <v>114</v>
      </c>
      <c r="H91" s="52" t="s">
        <v>711</v>
      </c>
      <c r="I91" s="52" t="s">
        <v>719</v>
      </c>
      <c r="J91" s="52" t="s">
        <v>156</v>
      </c>
      <c r="K91" s="52" t="s">
        <v>152</v>
      </c>
      <c r="L91" s="52" t="s">
        <v>712</v>
      </c>
      <c r="M91" s="52" t="s">
        <v>166</v>
      </c>
      <c r="N91" s="52" t="s">
        <v>713</v>
      </c>
      <c r="O91" s="52" t="s">
        <v>714</v>
      </c>
    </row>
    <row r="92" spans="1:15" ht="14.25" customHeight="1" x14ac:dyDescent="0.25">
      <c r="B92" s="118"/>
      <c r="C92" s="118"/>
      <c r="D92" s="118"/>
      <c r="E92" s="118"/>
      <c r="F92" s="118"/>
      <c r="G92" s="118"/>
      <c r="H92" s="118"/>
      <c r="I92" s="118"/>
      <c r="J92" s="137"/>
      <c r="K92" s="118"/>
      <c r="L92" s="137"/>
      <c r="M92" s="137"/>
      <c r="N92" s="137"/>
      <c r="O92" s="137"/>
    </row>
    <row r="93" spans="1:15" ht="14.25" customHeight="1" x14ac:dyDescent="0.25">
      <c r="B93" s="118"/>
      <c r="C93" s="118"/>
      <c r="D93" s="118"/>
      <c r="E93" s="118"/>
      <c r="F93" s="118"/>
      <c r="G93" s="118"/>
      <c r="H93" s="118"/>
      <c r="I93" s="118"/>
      <c r="J93" s="137"/>
      <c r="K93" s="118"/>
      <c r="L93" s="137"/>
      <c r="M93" s="137"/>
      <c r="N93" s="137"/>
      <c r="O93" s="137"/>
    </row>
    <row r="94" spans="1:15" ht="14.25" customHeight="1" x14ac:dyDescent="0.25">
      <c r="B94" s="118"/>
      <c r="C94" s="118"/>
      <c r="D94" s="118"/>
      <c r="E94" s="118"/>
      <c r="F94" s="118"/>
      <c r="G94" s="118"/>
      <c r="H94" s="118"/>
      <c r="I94" s="118"/>
      <c r="J94" s="137"/>
      <c r="K94" s="118"/>
      <c r="L94" s="137"/>
      <c r="M94" s="137"/>
      <c r="N94" s="137"/>
      <c r="O94" s="137"/>
    </row>
    <row r="95" spans="1:15" ht="14.25" customHeight="1" x14ac:dyDescent="0.25">
      <c r="B95" s="118"/>
      <c r="C95" s="118"/>
      <c r="D95" s="118"/>
      <c r="E95" s="118"/>
      <c r="F95" s="118"/>
      <c r="G95" s="118"/>
      <c r="H95" s="118"/>
      <c r="I95" s="118"/>
      <c r="J95" s="137"/>
      <c r="K95" s="118"/>
      <c r="L95" s="137"/>
      <c r="M95" s="137"/>
      <c r="N95" s="137"/>
      <c r="O95" s="137"/>
    </row>
    <row r="96" spans="1:15" ht="14.25" customHeight="1" x14ac:dyDescent="0.25">
      <c r="B96" s="118"/>
      <c r="C96" s="118"/>
      <c r="D96" s="118"/>
      <c r="E96" s="118"/>
      <c r="F96" s="118"/>
      <c r="G96" s="118"/>
      <c r="H96" s="118"/>
      <c r="I96" s="118"/>
      <c r="J96" s="137"/>
      <c r="K96" s="118"/>
      <c r="L96" s="137"/>
      <c r="M96" s="137"/>
      <c r="N96" s="137"/>
      <c r="O96" s="137"/>
    </row>
    <row r="98" spans="1:14" ht="14.25" customHeight="1" x14ac:dyDescent="0.25">
      <c r="A98" s="138"/>
      <c r="B98" s="138"/>
      <c r="C98" s="138"/>
      <c r="D98" s="138"/>
      <c r="E98" s="138"/>
      <c r="F98" s="138"/>
      <c r="G98" s="138"/>
      <c r="H98" s="138"/>
      <c r="I98" s="138"/>
      <c r="J98" s="138"/>
      <c r="K98" s="138"/>
      <c r="L98" s="138"/>
    </row>
    <row r="99" spans="1:14" ht="31.5" customHeight="1" x14ac:dyDescent="0.25">
      <c r="A99" s="138"/>
      <c r="B99" s="138"/>
      <c r="C99" s="138"/>
      <c r="D99" s="138"/>
      <c r="E99" s="138"/>
      <c r="F99" s="138"/>
      <c r="G99" s="138"/>
      <c r="H99" s="138"/>
      <c r="I99" s="138"/>
      <c r="J99" s="138"/>
      <c r="K99" s="138"/>
      <c r="L99" s="138"/>
      <c r="M99" s="24"/>
      <c r="N99" s="24"/>
    </row>
    <row r="101" spans="1:14" ht="34.5" customHeight="1" x14ac:dyDescent="0.25">
      <c r="A101" s="138"/>
      <c r="B101" s="138"/>
      <c r="C101" s="138"/>
      <c r="D101" s="138"/>
      <c r="E101" s="138"/>
      <c r="F101" s="138"/>
      <c r="G101" s="138"/>
      <c r="H101" s="138"/>
      <c r="I101" s="138"/>
      <c r="J101" s="138"/>
      <c r="K101" s="138"/>
      <c r="L101" s="138"/>
    </row>
    <row r="102" spans="1:14" ht="14.25" customHeight="1" x14ac:dyDescent="0.25">
      <c r="A102" s="138"/>
      <c r="B102" s="138"/>
      <c r="C102" s="138"/>
      <c r="D102" s="138"/>
      <c r="E102" s="138"/>
      <c r="F102" s="138"/>
      <c r="G102" s="138"/>
      <c r="H102" s="138"/>
      <c r="I102" s="138"/>
      <c r="J102" s="138"/>
      <c r="K102" s="138"/>
      <c r="L102" s="138"/>
    </row>
    <row r="103" spans="1:14" ht="14.25" customHeight="1" x14ac:dyDescent="0.25">
      <c r="A103" s="138"/>
      <c r="B103" s="138"/>
      <c r="C103" s="138"/>
      <c r="D103" s="138"/>
      <c r="E103" s="138"/>
      <c r="F103" s="138"/>
      <c r="G103" s="138"/>
      <c r="H103" s="138"/>
      <c r="I103" s="138"/>
      <c r="J103" s="138"/>
      <c r="K103" s="138"/>
      <c r="L103" s="138"/>
    </row>
    <row r="104" spans="1:14" ht="14.25" customHeight="1" x14ac:dyDescent="0.25">
      <c r="A104" s="138"/>
      <c r="B104" s="138"/>
      <c r="C104" s="138"/>
      <c r="D104" s="138"/>
      <c r="E104" s="138"/>
      <c r="F104" s="138"/>
      <c r="G104" s="138"/>
      <c r="H104" s="138"/>
      <c r="I104" s="138"/>
      <c r="J104" s="138"/>
      <c r="K104" s="138"/>
      <c r="L104" s="138"/>
    </row>
    <row r="105" spans="1:14" ht="14.25" customHeight="1" x14ac:dyDescent="0.25">
      <c r="A105" s="138"/>
      <c r="B105" s="138"/>
      <c r="C105" s="138"/>
      <c r="D105" s="138"/>
      <c r="E105" s="138"/>
      <c r="F105" s="138"/>
      <c r="G105" s="138"/>
      <c r="H105" s="138"/>
      <c r="I105" s="138"/>
      <c r="J105" s="138"/>
      <c r="K105" s="138"/>
      <c r="L105" s="138"/>
    </row>
    <row r="106" spans="1:14" ht="14.25" customHeight="1" x14ac:dyDescent="0.25">
      <c r="A106" s="138"/>
      <c r="B106" s="138"/>
      <c r="C106" s="138"/>
      <c r="D106" s="138"/>
      <c r="E106" s="138"/>
      <c r="F106" s="138"/>
      <c r="G106" s="138"/>
      <c r="H106" s="138"/>
      <c r="I106" s="138"/>
      <c r="J106" s="138"/>
      <c r="K106" s="138"/>
      <c r="L106" s="138"/>
    </row>
    <row r="107" spans="1:14" ht="14.25" customHeight="1" x14ac:dyDescent="0.25">
      <c r="A107" s="138"/>
      <c r="B107" s="138"/>
      <c r="C107" s="138"/>
      <c r="D107" s="138"/>
      <c r="E107" s="138"/>
      <c r="F107" s="138"/>
      <c r="G107" s="138"/>
      <c r="H107" s="138"/>
      <c r="I107" s="138"/>
      <c r="J107" s="138"/>
      <c r="K107" s="138"/>
      <c r="L107" s="138"/>
    </row>
    <row r="108" spans="1:14" ht="14.25" customHeight="1" x14ac:dyDescent="0.25">
      <c r="A108" s="138"/>
      <c r="B108" s="138"/>
      <c r="C108" s="138"/>
      <c r="D108" s="138"/>
      <c r="E108" s="138"/>
      <c r="F108" s="138"/>
      <c r="G108" s="138"/>
      <c r="H108" s="138"/>
      <c r="I108" s="138"/>
      <c r="J108" s="138"/>
      <c r="K108" s="138"/>
      <c r="L108" s="138"/>
    </row>
    <row r="109" spans="1:14" ht="14.25" customHeight="1" x14ac:dyDescent="0.25">
      <c r="A109" s="138"/>
      <c r="B109" s="138"/>
      <c r="C109" s="138"/>
      <c r="D109" s="138"/>
      <c r="E109" s="138"/>
      <c r="F109" s="138"/>
      <c r="G109" s="138"/>
      <c r="H109" s="138"/>
      <c r="I109" s="138"/>
      <c r="J109" s="138"/>
      <c r="K109" s="138"/>
      <c r="L109" s="138"/>
    </row>
    <row r="110" spans="1:14" ht="14.25" customHeight="1" x14ac:dyDescent="0.25">
      <c r="A110" s="138"/>
      <c r="B110" s="138"/>
      <c r="C110" s="138"/>
      <c r="D110" s="138"/>
      <c r="E110" s="138"/>
      <c r="F110" s="138"/>
      <c r="G110" s="138"/>
      <c r="H110" s="138"/>
      <c r="I110" s="138"/>
      <c r="J110" s="138"/>
      <c r="K110" s="138"/>
      <c r="L110" s="138"/>
    </row>
    <row r="111" spans="1:14" ht="14.25" customHeight="1" x14ac:dyDescent="0.25">
      <c r="A111" s="138"/>
      <c r="B111" s="138"/>
      <c r="C111" s="138"/>
      <c r="D111" s="138"/>
      <c r="E111" s="138"/>
      <c r="F111" s="138"/>
      <c r="G111" s="138"/>
      <c r="H111" s="138"/>
      <c r="I111" s="138"/>
      <c r="J111" s="138"/>
      <c r="K111" s="138"/>
      <c r="L111" s="138"/>
    </row>
    <row r="112" spans="1:14" ht="14.25" customHeight="1" x14ac:dyDescent="0.25">
      <c r="A112" s="138"/>
      <c r="B112" s="138"/>
      <c r="C112" s="138"/>
      <c r="D112" s="138"/>
      <c r="E112" s="138"/>
      <c r="F112" s="138"/>
      <c r="G112" s="138"/>
      <c r="H112" s="138"/>
      <c r="I112" s="138"/>
      <c r="J112" s="138"/>
      <c r="K112" s="138"/>
      <c r="L112" s="138"/>
    </row>
    <row r="113" spans="1:12" ht="14.25" customHeight="1" x14ac:dyDescent="0.25">
      <c r="A113" s="138"/>
      <c r="B113" s="138"/>
      <c r="C113" s="138"/>
      <c r="D113" s="138"/>
      <c r="E113" s="138"/>
      <c r="F113" s="138"/>
      <c r="G113" s="138"/>
      <c r="H113" s="138"/>
      <c r="I113" s="138"/>
      <c r="J113" s="138"/>
      <c r="K113" s="138"/>
      <c r="L113" s="138"/>
    </row>
    <row r="114" spans="1:12" ht="14.25" customHeight="1" x14ac:dyDescent="0.25">
      <c r="A114" s="138"/>
      <c r="B114" s="138"/>
      <c r="C114" s="138"/>
      <c r="D114" s="138"/>
      <c r="E114" s="138"/>
      <c r="F114" s="138"/>
      <c r="G114" s="138"/>
      <c r="H114" s="138"/>
      <c r="I114" s="138"/>
      <c r="J114" s="138"/>
      <c r="K114" s="138"/>
      <c r="L114" s="138"/>
    </row>
    <row r="115" spans="1:12" ht="14.25" customHeight="1" x14ac:dyDescent="0.25">
      <c r="A115" s="138"/>
      <c r="B115" s="138"/>
      <c r="C115" s="138"/>
      <c r="D115" s="138"/>
      <c r="E115" s="138"/>
      <c r="F115" s="138"/>
      <c r="G115" s="138"/>
      <c r="H115" s="138"/>
      <c r="I115" s="138"/>
      <c r="J115" s="138"/>
      <c r="K115" s="138"/>
      <c r="L115" s="138"/>
    </row>
    <row r="116" spans="1:12" ht="14.25" customHeight="1" x14ac:dyDescent="0.25">
      <c r="A116" s="138"/>
      <c r="B116" s="138"/>
      <c r="C116" s="138"/>
      <c r="D116" s="138"/>
      <c r="E116" s="138"/>
      <c r="F116" s="138"/>
      <c r="G116" s="138"/>
      <c r="H116" s="138"/>
      <c r="I116" s="138"/>
      <c r="J116" s="138"/>
      <c r="K116" s="138"/>
      <c r="L116" s="138"/>
    </row>
    <row r="118" spans="1:12" ht="14.25" customHeight="1" x14ac:dyDescent="0.25">
      <c r="A118" s="138"/>
      <c r="B118" s="138"/>
      <c r="C118" s="138"/>
      <c r="D118" s="138"/>
      <c r="E118" s="138"/>
      <c r="F118" s="138"/>
      <c r="G118" s="138"/>
      <c r="H118" s="138"/>
      <c r="I118" s="138"/>
      <c r="J118" s="138"/>
      <c r="K118" s="138"/>
      <c r="L118" s="138"/>
    </row>
    <row r="119" spans="1:12" ht="14.25" customHeight="1" x14ac:dyDescent="0.25">
      <c r="A119" s="138"/>
      <c r="B119" s="138"/>
      <c r="C119" s="138"/>
      <c r="D119" s="138"/>
      <c r="E119" s="138"/>
      <c r="F119" s="138"/>
      <c r="G119" s="138"/>
      <c r="H119" s="138"/>
      <c r="I119" s="138"/>
      <c r="J119" s="138"/>
      <c r="K119" s="138"/>
      <c r="L119" s="138"/>
    </row>
    <row r="120" spans="1:12" ht="14.25" customHeight="1" x14ac:dyDescent="0.25">
      <c r="A120" s="138"/>
      <c r="B120" s="138"/>
      <c r="C120" s="138"/>
      <c r="D120" s="138"/>
      <c r="E120" s="138"/>
      <c r="F120" s="138"/>
      <c r="G120" s="138"/>
      <c r="H120" s="138"/>
      <c r="I120" s="138"/>
      <c r="J120" s="138"/>
      <c r="K120" s="138"/>
      <c r="L120" s="138"/>
    </row>
    <row r="121" spans="1:12" ht="33.75" customHeight="1" x14ac:dyDescent="0.25">
      <c r="A121" s="138"/>
      <c r="B121" s="138"/>
      <c r="C121" s="138"/>
      <c r="D121" s="138"/>
      <c r="E121" s="138"/>
      <c r="F121" s="138"/>
      <c r="G121" s="138"/>
      <c r="H121" s="138"/>
      <c r="I121" s="138"/>
      <c r="J121" s="138"/>
      <c r="K121" s="138"/>
      <c r="L121" s="138"/>
    </row>
    <row r="122" spans="1:12" ht="60.75" customHeight="1" x14ac:dyDescent="0.25">
      <c r="A122" s="138"/>
      <c r="B122" s="138"/>
      <c r="C122" s="138"/>
      <c r="D122" s="138"/>
      <c r="E122" s="138"/>
      <c r="F122" s="138"/>
      <c r="G122" s="138"/>
      <c r="H122" s="138"/>
      <c r="I122" s="138"/>
      <c r="J122" s="138"/>
      <c r="K122" s="138"/>
      <c r="L122" s="138"/>
    </row>
    <row r="123" spans="1:12" ht="14.25" customHeight="1" x14ac:dyDescent="0.25">
      <c r="A123" s="138"/>
      <c r="B123" s="138"/>
      <c r="C123" s="138"/>
      <c r="D123" s="138"/>
      <c r="E123" s="138"/>
      <c r="F123" s="138"/>
      <c r="G123" s="138"/>
      <c r="H123" s="138"/>
      <c r="I123" s="138"/>
      <c r="J123" s="138"/>
      <c r="K123" s="138"/>
      <c r="L123" s="138"/>
    </row>
    <row r="124" spans="1:12" ht="43.5" customHeight="1" x14ac:dyDescent="0.25">
      <c r="A124" s="138"/>
      <c r="B124" s="138"/>
      <c r="C124" s="138"/>
      <c r="D124" s="138"/>
      <c r="E124" s="138"/>
      <c r="F124" s="138"/>
      <c r="G124" s="138"/>
      <c r="H124" s="138"/>
      <c r="I124" s="138"/>
      <c r="J124" s="138"/>
      <c r="K124" s="138"/>
      <c r="L124" s="138"/>
    </row>
    <row r="125" spans="1:12" ht="60.75" customHeight="1" x14ac:dyDescent="0.25">
      <c r="A125" s="138"/>
      <c r="B125" s="138"/>
      <c r="C125" s="138"/>
      <c r="D125" s="138"/>
      <c r="E125" s="138"/>
      <c r="F125" s="138"/>
      <c r="G125" s="138"/>
      <c r="H125" s="138"/>
      <c r="I125" s="138"/>
      <c r="J125" s="138"/>
      <c r="K125" s="138"/>
      <c r="L125" s="138"/>
    </row>
    <row r="126" spans="1:12" ht="14.25" customHeight="1" x14ac:dyDescent="0.25">
      <c r="A126" s="138"/>
      <c r="B126" s="138"/>
      <c r="C126" s="138"/>
      <c r="D126" s="138"/>
      <c r="E126" s="138"/>
      <c r="F126" s="138"/>
      <c r="G126" s="138"/>
      <c r="H126" s="138"/>
      <c r="I126" s="138"/>
      <c r="J126" s="138"/>
      <c r="K126" s="138"/>
      <c r="L126" s="138"/>
    </row>
    <row r="127" spans="1:12" ht="31.5" customHeight="1" x14ac:dyDescent="0.25">
      <c r="A127" s="138"/>
      <c r="B127" s="138"/>
      <c r="C127" s="138"/>
      <c r="D127" s="138"/>
      <c r="E127" s="138"/>
      <c r="F127" s="138"/>
      <c r="G127" s="138"/>
      <c r="H127" s="138"/>
      <c r="I127" s="138"/>
      <c r="J127" s="138"/>
      <c r="K127" s="138"/>
      <c r="L127" s="138"/>
    </row>
    <row r="128" spans="1:12" ht="60.75" customHeight="1" x14ac:dyDescent="0.25">
      <c r="A128" s="138"/>
      <c r="B128" s="138"/>
      <c r="C128" s="138"/>
      <c r="D128" s="138"/>
      <c r="E128" s="138"/>
      <c r="F128" s="138"/>
      <c r="G128" s="138"/>
      <c r="H128" s="138"/>
      <c r="I128" s="138"/>
      <c r="J128" s="138"/>
      <c r="K128" s="138"/>
      <c r="L128" s="138"/>
    </row>
    <row r="129" spans="1:12" ht="14.25" customHeight="1" x14ac:dyDescent="0.25">
      <c r="A129" s="138"/>
      <c r="B129" s="138"/>
      <c r="C129" s="138"/>
      <c r="D129" s="138"/>
      <c r="E129" s="138"/>
      <c r="F129" s="138"/>
      <c r="G129" s="138"/>
      <c r="H129" s="138"/>
      <c r="I129" s="138"/>
      <c r="J129" s="138"/>
      <c r="K129" s="138"/>
      <c r="L129" s="138"/>
    </row>
    <row r="130" spans="1:12" ht="22.5" customHeight="1" x14ac:dyDescent="0.25">
      <c r="A130" s="138"/>
      <c r="B130" s="138"/>
      <c r="C130" s="138"/>
      <c r="D130" s="138"/>
      <c r="E130" s="138"/>
      <c r="F130" s="138"/>
      <c r="G130" s="138"/>
      <c r="H130" s="138"/>
      <c r="I130" s="138"/>
      <c r="J130" s="138"/>
      <c r="K130" s="138"/>
      <c r="L130" s="138"/>
    </row>
    <row r="131" spans="1:12" ht="60.75" customHeight="1" x14ac:dyDescent="0.25">
      <c r="A131" s="138"/>
      <c r="B131" s="138"/>
      <c r="C131" s="138"/>
      <c r="D131" s="138"/>
      <c r="E131" s="138"/>
      <c r="F131" s="138"/>
      <c r="G131" s="138"/>
      <c r="H131" s="138"/>
      <c r="I131" s="138"/>
      <c r="J131" s="138"/>
      <c r="K131" s="138"/>
      <c r="L131" s="138"/>
    </row>
    <row r="133" spans="1:12" ht="21.75" customHeight="1" x14ac:dyDescent="0.25">
      <c r="A133" s="138"/>
      <c r="B133" s="138"/>
      <c r="C133" s="138"/>
      <c r="D133" s="138"/>
      <c r="E133" s="138"/>
      <c r="F133" s="138"/>
      <c r="G133" s="138"/>
      <c r="H133" s="138"/>
      <c r="I133" s="138"/>
      <c r="J133" s="138"/>
      <c r="K133" s="138"/>
      <c r="L133" s="138"/>
    </row>
    <row r="134" spans="1:12" ht="60.75" customHeight="1" x14ac:dyDescent="0.25">
      <c r="A134" s="138"/>
      <c r="B134" s="138"/>
      <c r="C134" s="138"/>
      <c r="D134" s="138"/>
      <c r="E134" s="138"/>
      <c r="F134" s="138"/>
      <c r="G134" s="138"/>
      <c r="H134" s="138"/>
      <c r="I134" s="138"/>
      <c r="J134" s="138"/>
      <c r="K134" s="138"/>
      <c r="L134" s="138"/>
    </row>
    <row r="135" spans="1:12" ht="14.25" customHeight="1" x14ac:dyDescent="0.25">
      <c r="A135" s="138"/>
      <c r="B135" s="138"/>
      <c r="C135" s="138"/>
      <c r="D135" s="138"/>
      <c r="E135" s="138"/>
      <c r="F135" s="138"/>
      <c r="G135" s="138"/>
      <c r="H135" s="138"/>
      <c r="I135" s="138"/>
      <c r="J135" s="138"/>
      <c r="K135" s="138"/>
      <c r="L135" s="138"/>
    </row>
    <row r="136" spans="1:12" ht="18.75" customHeight="1" x14ac:dyDescent="0.25">
      <c r="A136" s="138"/>
      <c r="B136" s="138"/>
      <c r="C136" s="138"/>
      <c r="D136" s="138"/>
      <c r="E136" s="138"/>
      <c r="F136" s="138"/>
      <c r="G136" s="138"/>
      <c r="H136" s="138"/>
      <c r="I136" s="138"/>
      <c r="J136" s="138"/>
      <c r="K136" s="138"/>
      <c r="L136" s="138"/>
    </row>
    <row r="137" spans="1:12" ht="60.75" customHeight="1" x14ac:dyDescent="0.25">
      <c r="A137" s="138"/>
      <c r="B137" s="138"/>
      <c r="C137" s="138"/>
      <c r="D137" s="138"/>
      <c r="E137" s="138"/>
      <c r="F137" s="138"/>
      <c r="G137" s="138"/>
      <c r="H137" s="138"/>
      <c r="I137" s="138"/>
      <c r="J137" s="138"/>
      <c r="K137" s="138"/>
      <c r="L137" s="138"/>
    </row>
    <row r="138" spans="1:12" ht="14.25" customHeight="1" x14ac:dyDescent="0.25">
      <c r="A138" s="138"/>
      <c r="B138" s="138"/>
      <c r="C138" s="138"/>
      <c r="D138" s="138"/>
      <c r="E138" s="138"/>
      <c r="F138" s="138"/>
      <c r="G138" s="138"/>
      <c r="H138" s="138"/>
      <c r="I138" s="138"/>
      <c r="J138" s="138"/>
      <c r="K138" s="138"/>
      <c r="L138" s="138"/>
    </row>
    <row r="139" spans="1:12" ht="33" customHeight="1" x14ac:dyDescent="0.25">
      <c r="A139" s="138"/>
      <c r="B139" s="138"/>
      <c r="C139" s="138"/>
      <c r="D139" s="138"/>
      <c r="E139" s="138"/>
      <c r="F139" s="138"/>
      <c r="G139" s="138"/>
      <c r="H139" s="138"/>
      <c r="I139" s="138"/>
      <c r="J139" s="138"/>
      <c r="K139" s="138"/>
      <c r="L139" s="138"/>
    </row>
    <row r="140" spans="1:12" ht="60.75" customHeight="1" x14ac:dyDescent="0.25">
      <c r="A140" s="138"/>
      <c r="B140" s="138"/>
      <c r="C140" s="138"/>
      <c r="D140" s="138"/>
      <c r="E140" s="138"/>
      <c r="F140" s="138"/>
      <c r="G140" s="138"/>
      <c r="H140" s="138"/>
      <c r="I140" s="138"/>
      <c r="J140" s="138"/>
      <c r="K140" s="138"/>
      <c r="L140" s="138"/>
    </row>
    <row r="141" spans="1:12" ht="14.25" customHeight="1" x14ac:dyDescent="0.25">
      <c r="A141" s="138"/>
      <c r="B141" s="138"/>
      <c r="C141" s="138"/>
      <c r="D141" s="138"/>
      <c r="E141" s="138"/>
      <c r="F141" s="138"/>
      <c r="G141" s="138"/>
      <c r="H141" s="138"/>
      <c r="I141" s="138"/>
      <c r="J141" s="138"/>
      <c r="K141" s="138"/>
      <c r="L141" s="138"/>
    </row>
  </sheetData>
  <sheetProtection algorithmName="SHA-512" hashValue="CB4pm+wLMYaphVFv/NUEimPkn2ZqihPdZDDvo4Z4AwR/ZC3YJ6Tk/C1eDCxJ5NiFEei8i2P7mzfdYS7tCU+qEw==" saltValue="1HmNprsnYJDRkATxZtT8+w==" spinCount="100000" sheet="1" objects="1" scenarios="1"/>
  <mergeCells count="15">
    <mergeCell ref="A8:M8"/>
    <mergeCell ref="A5:M5"/>
    <mergeCell ref="A4:N4"/>
    <mergeCell ref="G87:K87"/>
    <mergeCell ref="G15:K15"/>
    <mergeCell ref="G32:K32"/>
    <mergeCell ref="G45:K45"/>
    <mergeCell ref="G58:K58"/>
    <mergeCell ref="G71:K71"/>
    <mergeCell ref="A85:K85"/>
    <mergeCell ref="B27:K27"/>
    <mergeCell ref="B28:K28"/>
    <mergeCell ref="A6:M6"/>
    <mergeCell ref="A7:M7"/>
    <mergeCell ref="A10:L11"/>
  </mergeCells>
  <conditionalFormatting sqref="F15:F18">
    <cfRule type="expression" dxfId="6" priority="44">
      <formula>$D$15="Yes"</formula>
    </cfRule>
  </conditionalFormatting>
  <conditionalFormatting sqref="F32:F34 F45 F58:F60 F71:F73 F87:F89">
    <cfRule type="expression" dxfId="5" priority="29">
      <formula>$D32="Yes"</formula>
    </cfRule>
  </conditionalFormatting>
  <conditionalFormatting sqref="G15:K18">
    <cfRule type="expression" dxfId="4" priority="42">
      <formula>$D$15="Yes"</formula>
    </cfRule>
  </conditionalFormatting>
  <conditionalFormatting sqref="G32:K34 G45:K45 G58:K60 G71:K73 G87:K89">
    <cfRule type="expression" dxfId="3" priority="27">
      <formula>$D32="Yes"</formula>
    </cfRule>
  </conditionalFormatting>
  <dataValidations count="5">
    <dataValidation type="list" allowBlank="1" showInputMessage="1" showErrorMessage="1" sqref="D45:D47 D58:D60 D71:D73 D87:D89 D32:D34 D15:D17" xr:uid="{00000000-0002-0000-0800-000000000000}">
      <formula1>"Yes,No"</formula1>
    </dataValidation>
    <dataValidation type="list" allowBlank="1" showInputMessage="1" showErrorMessage="1" sqref="I21:I25 I37:I41 I50:I54 I63:I67 I76:I80 J92:J96" xr:uid="{00000000-0002-0000-0800-000001000000}">
      <formula1>"Family,Senior,PSH"</formula1>
    </dataValidation>
    <dataValidation type="list" allowBlank="1" showInputMessage="1" showErrorMessage="1" sqref="K21:K25 K37:K41 K50:K54 K63:K67 K76:K80 L92:L96" xr:uid="{00000000-0002-0000-0800-000002000000}">
      <formula1>"New,Rehab"</formula1>
    </dataValidation>
    <dataValidation type="list" allowBlank="1" showInputMessage="1" showErrorMessage="1" sqref="L21:L25 L37:L41 L50:L54 L63:L67 L76:L80 M92:M96" xr:uid="{00000000-0002-0000-0800-000003000000}">
      <formula1>"MF Apt, SF Rental,SF Own,Other"</formula1>
    </dataValidation>
    <dataValidation type="list" allowBlank="1" showInputMessage="1" showErrorMessage="1" sqref="M21:N25 M37:N41 M50:N54 M63:N67 M76:N80 N92:O96" xr:uid="{00000000-0002-0000-0800-000004000000}">
      <formula1>"HTC,HOME,OHTF,MHA,RD,CDBG,Private,Other"</formula1>
    </dataValidation>
  </dataValidations>
  <pageMargins left="0.7" right="0.7" top="0.75" bottom="0.75" header="0.3" footer="0.3"/>
  <pageSetup scale="34" orientation="portrait" r:id="rId1"/>
  <rowBreaks count="1" manualBreakCount="1">
    <brk id="98"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G44"/>
  <sheetViews>
    <sheetView zoomScale="85" zoomScaleNormal="85" workbookViewId="0">
      <selection activeCell="K37" sqref="K37"/>
    </sheetView>
  </sheetViews>
  <sheetFormatPr defaultColWidth="9" defaultRowHeight="13.8" x14ac:dyDescent="0.25"/>
  <cols>
    <col min="1" max="1" width="9" style="5"/>
    <col min="2" max="2" width="34.19921875" style="5" customWidth="1"/>
    <col min="3" max="3" width="52.19921875" style="5" customWidth="1"/>
    <col min="4" max="4" width="18.8984375" style="5" bestFit="1" customWidth="1"/>
    <col min="5" max="5" width="9" style="5"/>
    <col min="6" max="6" width="28.59765625" style="5" bestFit="1" customWidth="1"/>
    <col min="7" max="7" width="13.69921875" style="5" customWidth="1"/>
    <col min="8" max="8" width="9" style="138"/>
    <col min="9" max="9" width="14" style="138" bestFit="1" customWidth="1"/>
    <col min="10" max="16384" width="9" style="138"/>
  </cols>
  <sheetData>
    <row r="1" spans="1:7" ht="54.9" customHeight="1" x14ac:dyDescent="0.25"/>
    <row r="2" spans="1:7" s="139" customFormat="1" ht="23.4" x14ac:dyDescent="0.4">
      <c r="A2" s="3" t="s">
        <v>853</v>
      </c>
      <c r="B2" s="1"/>
      <c r="C2" s="1"/>
      <c r="D2" s="1"/>
      <c r="E2" s="1"/>
      <c r="F2" s="1"/>
      <c r="G2" s="1"/>
    </row>
    <row r="3" spans="1:7" s="140" customFormat="1" ht="15.75" customHeight="1" x14ac:dyDescent="0.25">
      <c r="A3" s="4" t="s">
        <v>1108</v>
      </c>
      <c r="B3" s="35">
        <f>'Project Details'!C7</f>
        <v>0</v>
      </c>
      <c r="C3" s="35"/>
      <c r="D3" s="2"/>
      <c r="E3" s="2"/>
      <c r="F3" s="2"/>
      <c r="G3" s="2"/>
    </row>
    <row r="4" spans="1:7" ht="16.2" thickBot="1" x14ac:dyDescent="0.35">
      <c r="A4" s="425" t="s">
        <v>910</v>
      </c>
    </row>
    <row r="5" spans="1:7" hidden="1" x14ac:dyDescent="0.25"/>
    <row r="6" spans="1:7" s="143" customFormat="1" ht="24.9" hidden="1" customHeight="1" x14ac:dyDescent="0.25">
      <c r="A6" s="465" t="s">
        <v>864</v>
      </c>
      <c r="B6" s="134"/>
      <c r="C6" s="134"/>
      <c r="D6" s="134"/>
      <c r="E6" s="134"/>
      <c r="F6" s="134"/>
      <c r="G6" s="134"/>
    </row>
    <row r="7" spans="1:7" hidden="1" x14ac:dyDescent="0.25">
      <c r="B7" s="5" t="s">
        <v>563</v>
      </c>
      <c r="C7" s="9" t="str">
        <f>'Project Details'!C21</f>
        <v>N/A</v>
      </c>
      <c r="F7" s="34" t="s">
        <v>1097</v>
      </c>
      <c r="G7" s="169" t="str">
        <f>IFERROR(C32/'Budget &amp; Costs'!C45,"")</f>
        <v/>
      </c>
    </row>
    <row r="8" spans="1:7" hidden="1" x14ac:dyDescent="0.25">
      <c r="B8" s="5" t="s">
        <v>846</v>
      </c>
      <c r="C8" s="479">
        <f>IFERROR(VLOOKUP(C7,Data!#REF!,2,FALSE),0)</f>
        <v>0</v>
      </c>
      <c r="F8" s="34" t="s">
        <v>1098</v>
      </c>
      <c r="G8" s="169" t="str">
        <f>IFERROR(C32/C9,"")</f>
        <v/>
      </c>
    </row>
    <row r="9" spans="1:7" hidden="1" x14ac:dyDescent="0.25">
      <c r="B9" s="5" t="s">
        <v>836</v>
      </c>
      <c r="C9" s="9">
        <f>'Budget &amp; Costs'!D50</f>
        <v>0</v>
      </c>
    </row>
    <row r="10" spans="1:7" hidden="1" x14ac:dyDescent="0.25">
      <c r="B10" s="5" t="s">
        <v>1590</v>
      </c>
      <c r="C10" s="276">
        <f>'Budget &amp; Costs'!D327</f>
        <v>0</v>
      </c>
    </row>
    <row r="11" spans="1:7" hidden="1" x14ac:dyDescent="0.25">
      <c r="B11" s="5" t="s">
        <v>845</v>
      </c>
      <c r="C11" s="390">
        <f>IF(C7="Preserved Affordability", (0.3*C10),(C8*C9))</f>
        <v>0</v>
      </c>
      <c r="D11" s="570" t="str">
        <f>IF(C11 &gt; 1750000, "ERROR Greater than $1,750,000", "OK")</f>
        <v>OK</v>
      </c>
    </row>
    <row r="12" spans="1:7" hidden="1" x14ac:dyDescent="0.25"/>
    <row r="13" spans="1:7" s="143" customFormat="1" ht="24.9" hidden="1" customHeight="1" x14ac:dyDescent="0.25">
      <c r="A13" s="465" t="s">
        <v>866</v>
      </c>
      <c r="B13" s="134"/>
      <c r="C13" s="134"/>
      <c r="D13" s="134"/>
      <c r="E13" s="134"/>
      <c r="F13" s="134"/>
      <c r="G13" s="134"/>
    </row>
    <row r="14" spans="1:7" ht="17.399999999999999" hidden="1" x14ac:dyDescent="0.3">
      <c r="A14" s="6"/>
      <c r="C14" s="10" t="s">
        <v>848</v>
      </c>
      <c r="D14" s="10" t="s">
        <v>847</v>
      </c>
    </row>
    <row r="15" spans="1:7" hidden="1" x14ac:dyDescent="0.25">
      <c r="B15" s="5" t="s">
        <v>1176</v>
      </c>
      <c r="C15" s="176" t="str">
        <f>IF(AND('Budget &amp; Costs'!I60&gt;=0.25,OR('Project Details'!C25="New Affordability")),"Yes","No")</f>
        <v>No</v>
      </c>
      <c r="D15" s="410">
        <f>IF(C15="Yes",75000,0)</f>
        <v>0</v>
      </c>
    </row>
    <row r="16" spans="1:7" hidden="1" x14ac:dyDescent="0.25">
      <c r="B16" s="48" t="s">
        <v>1591</v>
      </c>
      <c r="C16" s="176" t="e">
        <f>IF('Development Team'!#REF!="Yes", "Yes","No")</f>
        <v>#REF!</v>
      </c>
      <c r="D16" s="410" t="e">
        <f>IF(C16="Yes",75000,0)</f>
        <v>#REF!</v>
      </c>
    </row>
    <row r="17" spans="1:6" hidden="1" x14ac:dyDescent="0.25">
      <c r="B17" s="5" t="s">
        <v>849</v>
      </c>
      <c r="C17" s="135">
        <f>'Project Details'!G29</f>
        <v>0</v>
      </c>
      <c r="D17" s="410">
        <f>IF(OR(C17="Davis Bacon",C17="Ohio Prevailing Wage",C17="Other"),75000,0)</f>
        <v>0</v>
      </c>
      <c r="E17" s="77" t="str">
        <f>IF(D17&gt;0,"**Support docs required**","")</f>
        <v/>
      </c>
    </row>
    <row r="18" spans="1:6" hidden="1" x14ac:dyDescent="0.25">
      <c r="B18" s="5" t="s">
        <v>1177</v>
      </c>
      <c r="C18" s="135" t="str">
        <f>IF('Budget &amp; Costs'!G211&gt;0,"Yes","No")</f>
        <v>No</v>
      </c>
      <c r="D18" s="410">
        <f>IF(C18="Yes",75000,0)</f>
        <v>0</v>
      </c>
    </row>
    <row r="19" spans="1:6" hidden="1" x14ac:dyDescent="0.25">
      <c r="B19" s="5" t="s">
        <v>1178</v>
      </c>
      <c r="C19" s="135" t="e">
        <f>IF('HDL+Wage Rates+MLP'!#REF!="Yes","Yes","No")</f>
        <v>#REF!</v>
      </c>
      <c r="D19" s="410" t="e">
        <f>IF(C19="Yes",75000,0)</f>
        <v>#REF!</v>
      </c>
    </row>
    <row r="20" spans="1:6" hidden="1" x14ac:dyDescent="0.25">
      <c r="C20"/>
      <c r="D20" s="30" t="e">
        <f>SUM(D15:D19)</f>
        <v>#REF!</v>
      </c>
    </row>
    <row r="21" spans="1:6" hidden="1" x14ac:dyDescent="0.25"/>
    <row r="22" spans="1:6" hidden="1" x14ac:dyDescent="0.25">
      <c r="B22" s="5" t="s">
        <v>862</v>
      </c>
      <c r="C22" s="30">
        <f>IFERROR(D20+C11,0)</f>
        <v>0</v>
      </c>
      <c r="D22" s="570"/>
    </row>
    <row r="23" spans="1:6" ht="14.4" hidden="1" thickBot="1" x14ac:dyDescent="0.3"/>
    <row r="24" spans="1:6" ht="17.399999999999999" x14ac:dyDescent="0.3">
      <c r="A24" s="177" t="s">
        <v>1661</v>
      </c>
      <c r="B24" s="178"/>
      <c r="C24" s="178"/>
      <c r="D24" s="178"/>
      <c r="E24" s="178"/>
      <c r="F24" s="179"/>
    </row>
    <row r="25" spans="1:6" x14ac:dyDescent="0.25">
      <c r="A25" s="180"/>
      <c r="B25" s="181" t="s">
        <v>1099</v>
      </c>
      <c r="C25" s="30">
        <f>'Budget &amp; Costs'!J324-'Budget &amp; Costs'!J302</f>
        <v>0</v>
      </c>
      <c r="D25" s="181"/>
      <c r="E25" s="181"/>
      <c r="F25" s="182"/>
    </row>
    <row r="26" spans="1:6" x14ac:dyDescent="0.25">
      <c r="A26" s="180"/>
      <c r="B26" s="183" t="s">
        <v>867</v>
      </c>
      <c r="C26" s="169">
        <f>C25*0.2</f>
        <v>0</v>
      </c>
      <c r="D26" s="181"/>
      <c r="E26" s="181"/>
      <c r="F26" s="182"/>
    </row>
    <row r="27" spans="1:6" x14ac:dyDescent="0.25">
      <c r="A27" s="180"/>
      <c r="B27" s="181" t="s">
        <v>1251</v>
      </c>
      <c r="C27" s="30">
        <f>C25*0.05</f>
        <v>0</v>
      </c>
      <c r="D27" s="184" t="s">
        <v>917</v>
      </c>
      <c r="E27" s="181"/>
      <c r="F27" s="182"/>
    </row>
    <row r="28" spans="1:6" x14ac:dyDescent="0.25">
      <c r="A28" s="180"/>
      <c r="B28" s="181" t="s">
        <v>918</v>
      </c>
      <c r="C28" s="30">
        <f>C27+C26</f>
        <v>0</v>
      </c>
      <c r="D28" s="181"/>
      <c r="E28" s="181"/>
      <c r="F28" s="182"/>
    </row>
    <row r="29" spans="1:6" ht="14.4" thickBot="1" x14ac:dyDescent="0.3">
      <c r="A29" s="185"/>
      <c r="B29" s="186" t="s">
        <v>1660</v>
      </c>
      <c r="C29" s="611" t="e">
        <f>'Budget &amp; Costs'!L302/C25</f>
        <v>#DIV/0!</v>
      </c>
      <c r="D29" s="186"/>
      <c r="E29" s="186"/>
      <c r="F29" s="187"/>
    </row>
    <row r="31" spans="1:6" ht="17.399999999999999" x14ac:dyDescent="0.3">
      <c r="A31" s="6" t="s">
        <v>863</v>
      </c>
    </row>
    <row r="32" spans="1:6" x14ac:dyDescent="0.25">
      <c r="B32" s="5" t="s">
        <v>854</v>
      </c>
      <c r="C32" s="169">
        <f>'Budget &amp; Costs'!L302</f>
        <v>0</v>
      </c>
    </row>
    <row r="33" spans="2:4" x14ac:dyDescent="0.25">
      <c r="B33" s="5" t="s">
        <v>919</v>
      </c>
      <c r="C33" s="169">
        <f>'Budget &amp; Costs'!L303</f>
        <v>0</v>
      </c>
    </row>
    <row r="34" spans="2:4" x14ac:dyDescent="0.25">
      <c r="B34" s="5" t="s">
        <v>860</v>
      </c>
      <c r="C34" s="169">
        <f>'Budget &amp; Costs'!L304</f>
        <v>0</v>
      </c>
    </row>
    <row r="35" spans="2:4" x14ac:dyDescent="0.25">
      <c r="B35" s="5" t="s">
        <v>861</v>
      </c>
      <c r="C35" s="169">
        <f>'Budget &amp; Costs'!L305</f>
        <v>0</v>
      </c>
    </row>
    <row r="36" spans="2:4" x14ac:dyDescent="0.25">
      <c r="B36" s="5" t="s">
        <v>855</v>
      </c>
      <c r="C36" s="169">
        <f>'Budget &amp; Costs'!L306</f>
        <v>0</v>
      </c>
    </row>
    <row r="37" spans="2:4" x14ac:dyDescent="0.25">
      <c r="B37" s="5" t="s">
        <v>944</v>
      </c>
      <c r="C37" s="169">
        <f>'Budget &amp; Costs'!L309</f>
        <v>0</v>
      </c>
    </row>
    <row r="38" spans="2:4" x14ac:dyDescent="0.25">
      <c r="B38" s="5" t="s">
        <v>1179</v>
      </c>
      <c r="C38" s="169">
        <f>SUM(C32:C37)</f>
        <v>0</v>
      </c>
      <c r="D38" s="77" t="str">
        <f>IF(C38&gt;1750000,"Developer Support Budget Exceeds $1,750,000","")</f>
        <v/>
      </c>
    </row>
    <row r="39" spans="2:4" x14ac:dyDescent="0.25">
      <c r="B39" s="5" t="s">
        <v>865</v>
      </c>
      <c r="C39" s="174">
        <f>IFERROR(C38/'Budget &amp; Costs'!L324,0)</f>
        <v>0</v>
      </c>
      <c r="D39" s="77" t="str">
        <f>IFERROR(IF(C39&gt;0.2,"Fee Exceeds 20%, Additional Documentation May Be Requested",""),"")</f>
        <v/>
      </c>
    </row>
    <row r="41" spans="2:4" x14ac:dyDescent="0.25">
      <c r="B41" s="5" t="s">
        <v>850</v>
      </c>
      <c r="C41" s="30">
        <f>C32</f>
        <v>0</v>
      </c>
      <c r="D41" s="77"/>
    </row>
    <row r="42" spans="2:4" x14ac:dyDescent="0.25">
      <c r="B42" s="5" t="s">
        <v>851</v>
      </c>
      <c r="C42" s="30">
        <f>'Budget &amp; Costs'!G239</f>
        <v>0</v>
      </c>
    </row>
    <row r="43" spans="2:4" x14ac:dyDescent="0.25">
      <c r="B43" s="5" t="s">
        <v>939</v>
      </c>
      <c r="C43" s="174">
        <f>IFERROR(C42/C22,0)</f>
        <v>0</v>
      </c>
    </row>
    <row r="44" spans="2:4" x14ac:dyDescent="0.25">
      <c r="B44" s="5" t="s">
        <v>938</v>
      </c>
      <c r="C44" s="174">
        <f>IFERROR(C42/C41,0)</f>
        <v>0</v>
      </c>
    </row>
  </sheetData>
  <sheetProtection algorithmName="SHA-512" hashValue="j3EVIKhGnOFhiVhwSfZX3iPiPPBSBrNcEprNftrsQv9j/gpebCFWnNRcJb6003GB2uDWuCosGfE3RX7JR+/VBA==" saltValue="7OUp+H0CH0L3aauRNYBqKg==" spinCount="100000" sheet="1" objects="1" scenarios="1"/>
  <pageMargins left="0.7" right="0.7" top="0.75" bottom="0.75" header="0.3" footer="0.3"/>
  <pageSetup scale="49" orientation="portrait" r:id="rId1"/>
  <ignoredErrors>
    <ignoredError sqref="D17" formula="1"/>
    <ignoredError sqref="D20 D16 D15" evalError="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1"/>
  <dimension ref="A1:T16"/>
  <sheetViews>
    <sheetView zoomScale="85" zoomScaleNormal="85" workbookViewId="0">
      <selection activeCell="B3" sqref="B3"/>
    </sheetView>
  </sheetViews>
  <sheetFormatPr defaultColWidth="9" defaultRowHeight="13.8" x14ac:dyDescent="0.25"/>
  <cols>
    <col min="1" max="1" width="9" style="5" customWidth="1"/>
    <col min="2" max="10" width="9" style="5"/>
    <col min="11" max="11" width="9" style="5" customWidth="1"/>
    <col min="12" max="12" width="9" style="5"/>
    <col min="13" max="13" width="9" style="5" customWidth="1"/>
    <col min="14" max="20" width="9" style="5"/>
    <col min="21" max="16384" width="9" style="138"/>
  </cols>
  <sheetData>
    <row r="1" spans="1:20" ht="54.9" customHeight="1" x14ac:dyDescent="0.25"/>
    <row r="2" spans="1:20" s="139" customFormat="1" ht="23.4" x14ac:dyDescent="0.4">
      <c r="A2" s="3" t="s">
        <v>616</v>
      </c>
      <c r="B2" s="1"/>
      <c r="C2" s="1"/>
      <c r="D2" s="1"/>
      <c r="E2" s="1"/>
      <c r="F2" s="1"/>
      <c r="G2" s="1"/>
      <c r="H2" s="1"/>
      <c r="I2" s="1"/>
      <c r="J2" s="1"/>
      <c r="K2" s="1"/>
      <c r="L2" s="1"/>
      <c r="M2" s="1"/>
      <c r="N2" s="1"/>
      <c r="O2" s="1"/>
      <c r="P2" s="1"/>
      <c r="Q2" s="1"/>
      <c r="R2" s="1"/>
      <c r="S2" s="1"/>
      <c r="T2" s="1"/>
    </row>
    <row r="3" spans="1:20" s="140" customFormat="1" ht="15" x14ac:dyDescent="0.25">
      <c r="A3" s="4" t="s">
        <v>1108</v>
      </c>
      <c r="B3" s="35">
        <f>'Project Details'!C7</f>
        <v>0</v>
      </c>
      <c r="C3" s="35"/>
      <c r="D3" s="36"/>
      <c r="E3" s="2"/>
      <c r="F3" s="2"/>
      <c r="G3" s="2"/>
      <c r="H3" s="2"/>
      <c r="I3" s="2"/>
      <c r="J3" s="2"/>
      <c r="K3" s="2"/>
      <c r="L3" s="2"/>
      <c r="M3" s="2"/>
      <c r="N3" s="2"/>
      <c r="O3" s="2"/>
      <c r="P3" s="2"/>
      <c r="Q3" s="2"/>
      <c r="R3" s="2"/>
      <c r="S3" s="2"/>
      <c r="T3" s="2"/>
    </row>
    <row r="4" spans="1:20" ht="15" x14ac:dyDescent="0.25">
      <c r="A4" s="25"/>
      <c r="D4" s="51"/>
    </row>
    <row r="5" spans="1:20" x14ac:dyDescent="0.25">
      <c r="A5" s="851" t="s">
        <v>617</v>
      </c>
      <c r="B5" s="851"/>
      <c r="C5" s="851"/>
      <c r="D5" s="851"/>
      <c r="E5" s="851"/>
      <c r="F5" s="851"/>
      <c r="G5" s="851"/>
      <c r="H5" s="851"/>
      <c r="I5" s="851"/>
      <c r="J5" s="851"/>
      <c r="K5" s="851"/>
      <c r="L5" s="851"/>
      <c r="M5" s="851"/>
      <c r="N5" s="851"/>
      <c r="O5" s="851"/>
      <c r="P5" s="851"/>
      <c r="Q5" s="851"/>
      <c r="R5" s="851"/>
      <c r="S5" s="851"/>
    </row>
    <row r="6" spans="1:20" ht="14.25" customHeight="1" x14ac:dyDescent="0.25">
      <c r="A6" s="43"/>
      <c r="B6" s="852"/>
      <c r="C6" s="852"/>
      <c r="D6" s="852"/>
      <c r="E6" s="852"/>
      <c r="F6" s="852"/>
      <c r="G6" s="852"/>
      <c r="H6" s="852"/>
      <c r="I6" s="852"/>
      <c r="J6" s="852"/>
      <c r="K6" s="852"/>
      <c r="L6" s="852"/>
      <c r="M6" s="852"/>
      <c r="N6" s="852"/>
      <c r="O6" s="852"/>
      <c r="P6" s="852"/>
      <c r="Q6" s="852"/>
      <c r="R6" s="852"/>
      <c r="S6" s="852"/>
    </row>
    <row r="7" spans="1:20" x14ac:dyDescent="0.25">
      <c r="A7" s="43"/>
      <c r="B7" s="852"/>
      <c r="C7" s="852"/>
      <c r="D7" s="852"/>
      <c r="E7" s="852"/>
      <c r="F7" s="852"/>
      <c r="G7" s="852"/>
      <c r="H7" s="852"/>
      <c r="I7" s="852"/>
      <c r="J7" s="852"/>
      <c r="K7" s="852"/>
      <c r="L7" s="852"/>
      <c r="M7" s="852"/>
      <c r="N7" s="852"/>
      <c r="O7" s="852"/>
      <c r="P7" s="852"/>
      <c r="Q7" s="852"/>
      <c r="R7" s="852"/>
      <c r="S7" s="852"/>
    </row>
    <row r="8" spans="1:20" ht="15.75" customHeight="1" x14ac:dyDescent="0.25">
      <c r="A8" s="25"/>
      <c r="B8" s="852"/>
      <c r="C8" s="852"/>
      <c r="D8" s="852"/>
      <c r="E8" s="852"/>
      <c r="F8" s="852"/>
      <c r="G8" s="852"/>
      <c r="H8" s="852"/>
      <c r="I8" s="852"/>
      <c r="J8" s="852"/>
      <c r="K8" s="852"/>
      <c r="L8" s="852"/>
      <c r="M8" s="852"/>
      <c r="N8" s="852"/>
      <c r="O8" s="852"/>
      <c r="P8" s="852"/>
      <c r="Q8" s="852"/>
      <c r="R8" s="852"/>
      <c r="S8" s="852"/>
    </row>
    <row r="9" spans="1:20" ht="57" customHeight="1" x14ac:dyDescent="0.25">
      <c r="B9" s="852"/>
      <c r="C9" s="852"/>
      <c r="D9" s="852"/>
      <c r="E9" s="852"/>
      <c r="F9" s="852"/>
      <c r="G9" s="852"/>
      <c r="H9" s="852"/>
      <c r="I9" s="852"/>
      <c r="J9" s="852"/>
      <c r="K9" s="852"/>
      <c r="L9" s="852"/>
      <c r="M9" s="852"/>
      <c r="N9" s="852"/>
      <c r="O9" s="852"/>
      <c r="P9" s="852"/>
      <c r="Q9" s="852"/>
      <c r="R9" s="852"/>
      <c r="S9" s="852"/>
    </row>
    <row r="11" spans="1:20" x14ac:dyDescent="0.25">
      <c r="A11" s="851" t="s">
        <v>1644</v>
      </c>
      <c r="B11" s="851"/>
      <c r="C11" s="851"/>
      <c r="D11" s="851"/>
      <c r="E11" s="851"/>
      <c r="F11" s="851"/>
      <c r="G11" s="851"/>
      <c r="H11" s="851"/>
      <c r="I11" s="851"/>
      <c r="J11" s="851"/>
      <c r="K11" s="851"/>
      <c r="L11" s="851"/>
      <c r="M11" s="851"/>
      <c r="N11" s="851"/>
      <c r="O11" s="851"/>
      <c r="P11" s="851"/>
      <c r="Q11" s="851"/>
      <c r="R11" s="851"/>
      <c r="S11" s="851"/>
    </row>
    <row r="12" spans="1:20" ht="14.25" customHeight="1" x14ac:dyDescent="0.25">
      <c r="A12" s="43"/>
      <c r="B12" s="852"/>
      <c r="C12" s="852"/>
      <c r="D12" s="852"/>
      <c r="E12" s="852"/>
      <c r="F12" s="852"/>
      <c r="G12" s="852"/>
      <c r="H12" s="852"/>
      <c r="I12" s="852"/>
      <c r="J12" s="852"/>
      <c r="K12" s="852"/>
      <c r="L12" s="852"/>
      <c r="M12" s="852"/>
      <c r="N12" s="852"/>
      <c r="O12" s="852"/>
      <c r="P12" s="852"/>
      <c r="Q12" s="852"/>
      <c r="R12" s="852"/>
      <c r="S12" s="852"/>
    </row>
    <row r="13" spans="1:20" x14ac:dyDescent="0.25">
      <c r="A13" s="43"/>
      <c r="B13" s="852"/>
      <c r="C13" s="852"/>
      <c r="D13" s="852"/>
      <c r="E13" s="852"/>
      <c r="F13" s="852"/>
      <c r="G13" s="852"/>
      <c r="H13" s="852"/>
      <c r="I13" s="852"/>
      <c r="J13" s="852"/>
      <c r="K13" s="852"/>
      <c r="L13" s="852"/>
      <c r="M13" s="852"/>
      <c r="N13" s="852"/>
      <c r="O13" s="852"/>
      <c r="P13" s="852"/>
      <c r="Q13" s="852"/>
      <c r="R13" s="852"/>
      <c r="S13" s="852"/>
    </row>
    <row r="14" spans="1:20" ht="15.75" customHeight="1" x14ac:dyDescent="0.25">
      <c r="A14" s="25"/>
      <c r="B14" s="852"/>
      <c r="C14" s="852"/>
      <c r="D14" s="852"/>
      <c r="E14" s="852"/>
      <c r="F14" s="852"/>
      <c r="G14" s="852"/>
      <c r="H14" s="852"/>
      <c r="I14" s="852"/>
      <c r="J14" s="852"/>
      <c r="K14" s="852"/>
      <c r="L14" s="852"/>
      <c r="M14" s="852"/>
      <c r="N14" s="852"/>
      <c r="O14" s="852"/>
      <c r="P14" s="852"/>
      <c r="Q14" s="852"/>
      <c r="R14" s="852"/>
      <c r="S14" s="852"/>
    </row>
    <row r="15" spans="1:20" ht="57" customHeight="1" x14ac:dyDescent="0.25">
      <c r="B15" s="852"/>
      <c r="C15" s="852"/>
      <c r="D15" s="852"/>
      <c r="E15" s="852"/>
      <c r="F15" s="852"/>
      <c r="G15" s="852"/>
      <c r="H15" s="852"/>
      <c r="I15" s="852"/>
      <c r="J15" s="852"/>
      <c r="K15" s="852"/>
      <c r="L15" s="852"/>
      <c r="M15" s="852"/>
      <c r="N15" s="852"/>
      <c r="O15" s="852"/>
      <c r="P15" s="852"/>
      <c r="Q15" s="852"/>
      <c r="R15" s="852"/>
      <c r="S15" s="852"/>
    </row>
    <row r="16" spans="1:20" x14ac:dyDescent="0.25">
      <c r="B16" s="138"/>
      <c r="C16" s="138"/>
      <c r="D16" s="138"/>
      <c r="E16" s="138"/>
      <c r="F16" s="138"/>
      <c r="G16" s="138"/>
      <c r="H16" s="138"/>
      <c r="I16" s="138"/>
      <c r="J16" s="138"/>
      <c r="K16" s="138"/>
      <c r="L16" s="138"/>
      <c r="M16" s="138"/>
      <c r="N16" s="138"/>
      <c r="O16" s="138"/>
      <c r="P16" s="138"/>
      <c r="Q16" s="138"/>
      <c r="R16" s="138"/>
      <c r="S16" s="138"/>
      <c r="T16" s="138"/>
    </row>
  </sheetData>
  <mergeCells count="4">
    <mergeCell ref="A5:S5"/>
    <mergeCell ref="B6:S9"/>
    <mergeCell ref="A11:S11"/>
    <mergeCell ref="B12:S15"/>
  </mergeCells>
  <dataValidations count="1">
    <dataValidation type="textLength" operator="lessThanOrEqual" allowBlank="1" showInputMessage="1" showErrorMessage="1" sqref="B6:S9 B12:S15" xr:uid="{00000000-0002-0000-0A00-000001000000}">
      <formula1>1000</formula1>
    </dataValidation>
  </dataValidations>
  <pageMargins left="0.7" right="0.7" top="0.75" bottom="0.75" header="0.3" footer="0.3"/>
  <pageSetup scale="4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pageSetUpPr fitToPage="1"/>
  </sheetPr>
  <dimension ref="A1:M62"/>
  <sheetViews>
    <sheetView showGridLines="0" topLeftCell="A38" zoomScale="85" zoomScaleNormal="85" zoomScaleSheetLayoutView="40" zoomScalePageLayoutView="70" workbookViewId="0">
      <selection activeCell="E35" sqref="E35"/>
    </sheetView>
  </sheetViews>
  <sheetFormatPr defaultColWidth="9" defaultRowHeight="13.8" x14ac:dyDescent="0.25"/>
  <cols>
    <col min="1" max="1" width="4.09765625" style="5" customWidth="1"/>
    <col min="2" max="3" width="9.09765625" style="5" bestFit="1" customWidth="1"/>
    <col min="4" max="4" width="13" style="5" bestFit="1" customWidth="1"/>
    <col min="5" max="5" width="24.5" style="5" customWidth="1"/>
    <col min="6" max="6" width="10.69921875" style="5" customWidth="1"/>
    <col min="7" max="7" width="11" style="5" customWidth="1"/>
    <col min="8" max="8" width="9.19921875" style="5" bestFit="1" customWidth="1"/>
    <col min="9" max="9" width="29.09765625" style="5" customWidth="1"/>
    <col min="10" max="10" width="15.8984375" style="5" bestFit="1" customWidth="1"/>
    <col min="11" max="11" width="9.09765625" style="5" bestFit="1" customWidth="1"/>
    <col min="12" max="12" width="19.19921875" style="5" bestFit="1" customWidth="1"/>
    <col min="13" max="13" width="32" style="5" customWidth="1"/>
    <col min="14" max="14" width="4.09765625" style="5" customWidth="1"/>
    <col min="15" max="15" width="18.3984375" style="5" bestFit="1" customWidth="1"/>
    <col min="16" max="17" width="9" style="5"/>
    <col min="18" max="18" width="12.3984375" style="5" bestFit="1" customWidth="1"/>
    <col min="19" max="16384" width="9" style="5"/>
  </cols>
  <sheetData>
    <row r="1" spans="1:13" ht="54.9" customHeight="1" x14ac:dyDescent="0.25"/>
    <row r="2" spans="1:13" s="1" customFormat="1" ht="23.4" x14ac:dyDescent="0.4">
      <c r="A2" s="366" t="s">
        <v>3</v>
      </c>
    </row>
    <row r="3" spans="1:13" s="2" customFormat="1" ht="15" x14ac:dyDescent="0.25">
      <c r="A3" s="367" t="s">
        <v>1108</v>
      </c>
      <c r="C3" s="35">
        <f>'Project Details'!C7</f>
        <v>0</v>
      </c>
    </row>
    <row r="4" spans="1:13" ht="15.6" x14ac:dyDescent="0.3">
      <c r="A4" s="425" t="s">
        <v>1367</v>
      </c>
    </row>
    <row r="5" spans="1:13" x14ac:dyDescent="0.25">
      <c r="A5" s="77"/>
    </row>
    <row r="6" spans="1:13" ht="15" customHeight="1" x14ac:dyDescent="0.25">
      <c r="B6" s="719" t="s">
        <v>806</v>
      </c>
      <c r="C6" s="720"/>
      <c r="D6" s="720"/>
      <c r="E6" s="721"/>
      <c r="G6" s="719" t="str">
        <f>IF('Project Details'!C7="","",'Project Details'!C7)</f>
        <v/>
      </c>
      <c r="H6" s="720"/>
      <c r="I6" s="720"/>
      <c r="J6" s="720"/>
      <c r="K6" s="720"/>
      <c r="L6" s="720"/>
      <c r="M6" s="721"/>
    </row>
    <row r="7" spans="1:13" ht="151.5" customHeight="1" x14ac:dyDescent="0.25">
      <c r="B7" s="734"/>
      <c r="C7" s="858"/>
      <c r="D7" s="858"/>
      <c r="E7" s="735"/>
      <c r="G7" s="859" t="str">
        <f>IF(Narratives!B6="","",Narratives!B6)</f>
        <v/>
      </c>
      <c r="H7" s="860"/>
      <c r="I7" s="860"/>
      <c r="J7" s="860"/>
      <c r="K7" s="860"/>
      <c r="L7" s="860"/>
      <c r="M7" s="861"/>
    </row>
    <row r="8" spans="1:13" ht="14.25" customHeight="1" x14ac:dyDescent="0.25"/>
    <row r="9" spans="1:13" x14ac:dyDescent="0.25">
      <c r="B9" s="69" t="s">
        <v>563</v>
      </c>
      <c r="C9" s="63"/>
      <c r="D9" s="63" t="str">
        <f>'Project Details'!C21</f>
        <v>N/A</v>
      </c>
      <c r="E9" s="70"/>
      <c r="G9" s="719" t="s">
        <v>807</v>
      </c>
      <c r="H9" s="720"/>
      <c r="I9" s="721"/>
      <c r="K9" s="719" t="s">
        <v>812</v>
      </c>
      <c r="L9" s="720"/>
      <c r="M9" s="721"/>
    </row>
    <row r="10" spans="1:13" x14ac:dyDescent="0.25">
      <c r="B10" s="71" t="s">
        <v>157</v>
      </c>
      <c r="C10" s="65"/>
      <c r="D10" s="65">
        <f>'Project Details'!C26</f>
        <v>0</v>
      </c>
      <c r="E10" s="72"/>
      <c r="G10" s="69" t="s">
        <v>707</v>
      </c>
      <c r="H10" s="62"/>
      <c r="I10" s="70">
        <f>'Development Team'!D6</f>
        <v>0</v>
      </c>
      <c r="K10" s="69" t="s">
        <v>1139</v>
      </c>
      <c r="L10" s="63"/>
      <c r="M10" s="70">
        <f>'Development Team'!D36</f>
        <v>0</v>
      </c>
    </row>
    <row r="11" spans="1:13" x14ac:dyDescent="0.25">
      <c r="B11" s="71" t="s">
        <v>1382</v>
      </c>
      <c r="C11" s="65"/>
      <c r="D11" s="65">
        <f>'Project Details'!C25</f>
        <v>0</v>
      </c>
      <c r="E11" s="72"/>
      <c r="G11" s="71" t="s">
        <v>811</v>
      </c>
      <c r="H11" s="64"/>
      <c r="I11" s="72" t="str">
        <f>CONCATENATE('Development Team'!G8&amp;" "&amp;'Development Team'!G9)</f>
        <v xml:space="preserve"> </v>
      </c>
      <c r="K11" s="71" t="s">
        <v>7926</v>
      </c>
      <c r="L11" s="65"/>
      <c r="M11" s="72">
        <f>'Development Team'!D58</f>
        <v>0</v>
      </c>
    </row>
    <row r="12" spans="1:13" x14ac:dyDescent="0.25">
      <c r="B12" s="71" t="s">
        <v>646</v>
      </c>
      <c r="C12" s="65"/>
      <c r="D12" s="65">
        <f>'Project Details'!C30</f>
        <v>0</v>
      </c>
      <c r="E12" s="72"/>
      <c r="G12" s="71" t="s">
        <v>708</v>
      </c>
      <c r="H12" s="64"/>
      <c r="I12" s="72" t="str">
        <f>IF('Development Team'!J6="","N/A",'Development Team'!J6)</f>
        <v>N/A</v>
      </c>
      <c r="K12" s="71" t="s">
        <v>814</v>
      </c>
      <c r="L12" s="65"/>
      <c r="M12" s="72" t="str">
        <f>IF('Development Team'!D69="","N/A",'Development Team'!D69)</f>
        <v>N/A</v>
      </c>
    </row>
    <row r="13" spans="1:13" x14ac:dyDescent="0.25">
      <c r="B13" s="71" t="s">
        <v>112</v>
      </c>
      <c r="C13" s="65"/>
      <c r="D13" s="65">
        <f>'Project Details'!C8</f>
        <v>0</v>
      </c>
      <c r="E13" s="66"/>
      <c r="G13" s="71" t="s">
        <v>808</v>
      </c>
      <c r="H13" s="64"/>
      <c r="I13" s="72">
        <f>'Development Team'!D21</f>
        <v>0</v>
      </c>
      <c r="K13" s="71" t="s">
        <v>7927</v>
      </c>
      <c r="L13" s="65"/>
      <c r="M13" s="72" t="str">
        <f>IF('Development Team'!D71="","N/A",'Development Team'!D71)</f>
        <v>N/A</v>
      </c>
    </row>
    <row r="14" spans="1:13" x14ac:dyDescent="0.25">
      <c r="B14" s="71" t="s">
        <v>113</v>
      </c>
      <c r="C14" s="65"/>
      <c r="D14" s="65">
        <f>'Project Details'!C9</f>
        <v>0</v>
      </c>
      <c r="E14" s="66"/>
      <c r="G14" s="71" t="s">
        <v>1260</v>
      </c>
      <c r="H14" s="64"/>
      <c r="I14" s="72">
        <f>'Development Team'!D173</f>
        <v>0</v>
      </c>
      <c r="K14" s="71" t="s">
        <v>814</v>
      </c>
      <c r="L14" s="65"/>
      <c r="M14" s="72" t="str">
        <f>IF('Development Team'!D82="","N/A",'Development Team'!D82)</f>
        <v>N/A</v>
      </c>
    </row>
    <row r="15" spans="1:13" x14ac:dyDescent="0.25">
      <c r="B15" s="71" t="s">
        <v>9</v>
      </c>
      <c r="C15" s="64"/>
      <c r="D15" s="65" t="str">
        <f>'Project Details'!C12</f>
        <v>Input 2020 Census Tract</v>
      </c>
      <c r="E15" s="72"/>
      <c r="G15" s="71" t="s">
        <v>809</v>
      </c>
      <c r="H15" s="64"/>
      <c r="I15" s="72">
        <f>'Development Team'!D126</f>
        <v>0</v>
      </c>
      <c r="K15" s="71" t="s">
        <v>7928</v>
      </c>
      <c r="L15" s="65"/>
      <c r="M15" s="72" t="str">
        <f>IF('Development Team'!D84="","N/A",'Development Team'!D84)</f>
        <v>N/A</v>
      </c>
    </row>
    <row r="16" spans="1:13" x14ac:dyDescent="0.25">
      <c r="B16" s="73" t="s">
        <v>171</v>
      </c>
      <c r="C16" s="67"/>
      <c r="D16" s="74">
        <f>'Project Details'!G11</f>
        <v>0</v>
      </c>
      <c r="E16" s="68"/>
      <c r="G16" s="73" t="s">
        <v>810</v>
      </c>
      <c r="H16" s="67"/>
      <c r="I16" s="75">
        <f>'Development Team'!D193</f>
        <v>0</v>
      </c>
      <c r="K16" s="73" t="s">
        <v>1110</v>
      </c>
      <c r="L16" s="74"/>
      <c r="M16" s="75" t="str">
        <f>IF('Development Team'!D132="","N/A",'Development Team'!D132)</f>
        <v>N/A</v>
      </c>
    </row>
    <row r="18" spans="2:13" ht="66" x14ac:dyDescent="0.25">
      <c r="B18" s="52" t="s">
        <v>173</v>
      </c>
      <c r="C18" s="52" t="s">
        <v>217</v>
      </c>
      <c r="D18" s="52" t="s">
        <v>218</v>
      </c>
      <c r="E18" s="52" t="s">
        <v>1259</v>
      </c>
      <c r="F18" s="365" t="s">
        <v>1156</v>
      </c>
      <c r="G18" s="364" t="s">
        <v>1157</v>
      </c>
      <c r="H18" s="52" t="s">
        <v>220</v>
      </c>
      <c r="I18" s="52" t="s">
        <v>221</v>
      </c>
      <c r="J18" s="52" t="s">
        <v>227</v>
      </c>
      <c r="K18" s="52" t="s">
        <v>228</v>
      </c>
      <c r="L18" s="52" t="s">
        <v>229</v>
      </c>
      <c r="M18" s="52" t="s">
        <v>230</v>
      </c>
    </row>
    <row r="19" spans="2:13" x14ac:dyDescent="0.25">
      <c r="B19" s="419" t="str">
        <f>IF('Budget &amp; Costs'!C9=0,"",'Budget &amp; Costs'!C9)</f>
        <v/>
      </c>
      <c r="C19" s="419" t="str">
        <f>IF('Budget &amp; Costs'!D9="","",'Budget &amp; Costs'!D9)</f>
        <v/>
      </c>
      <c r="D19" s="419" t="str">
        <f>IF('Budget &amp; Costs'!E9=0,"",'Budget &amp; Costs'!E9)</f>
        <v/>
      </c>
      <c r="E19" s="419" t="str">
        <f>IF('Budget &amp; Costs'!F9=0,"",'Budget &amp; Costs'!F9)</f>
        <v/>
      </c>
      <c r="F19" s="420" t="str">
        <f>IF('Budget &amp; Costs'!G9="","",'Budget &amp; Costs'!G9)</f>
        <v/>
      </c>
      <c r="G19" s="420" t="str">
        <f>IF('Budget &amp; Costs'!H9=0,"",'Budget &amp; Costs'!H9)</f>
        <v/>
      </c>
      <c r="H19" s="599" t="str">
        <f>IF('Budget &amp; Costs'!I9=0,"",'Budget &amp; Costs'!I9)</f>
        <v/>
      </c>
      <c r="I19" s="599" t="str">
        <f>IF('Budget &amp; Costs'!J9=0,"",'Budget &amp; Costs'!J9)</f>
        <v/>
      </c>
      <c r="J19" s="598" t="str">
        <f>IF('Budget &amp; Costs'!M9=0,"",'Budget &amp; Costs'!M9)</f>
        <v/>
      </c>
      <c r="K19" s="419" t="str">
        <f>IF('Budget &amp; Costs'!N9="N/A","",'Budget &amp; Costs'!N9)</f>
        <v/>
      </c>
      <c r="L19" s="599" t="str">
        <f>IF('Budget &amp; Costs'!O9=0,"",'Budget &amp; Costs'!O9)</f>
        <v/>
      </c>
      <c r="M19" s="599" t="str">
        <f>IF('Budget &amp; Costs'!P9=0,"",'Budget &amp; Costs'!P9)</f>
        <v/>
      </c>
    </row>
    <row r="20" spans="2:13" x14ac:dyDescent="0.25">
      <c r="B20" s="419" t="str">
        <f>IF('Budget &amp; Costs'!C10=0,"",'Budget &amp; Costs'!C10)</f>
        <v/>
      </c>
      <c r="C20" s="419" t="str">
        <f>IF('Budget &amp; Costs'!D10="","",'Budget &amp; Costs'!D10)</f>
        <v/>
      </c>
      <c r="D20" s="419" t="str">
        <f>IF('Budget &amp; Costs'!E10=0,"",'Budget &amp; Costs'!E10)</f>
        <v/>
      </c>
      <c r="E20" s="419" t="str">
        <f>IF('Budget &amp; Costs'!F10=0,"",'Budget &amp; Costs'!F10)</f>
        <v/>
      </c>
      <c r="F20" s="420" t="str">
        <f>IF('Budget &amp; Costs'!G10="","",'Budget &amp; Costs'!G10)</f>
        <v/>
      </c>
      <c r="G20" s="420" t="str">
        <f>IF('Budget &amp; Costs'!H10=0,"",'Budget &amp; Costs'!H10)</f>
        <v/>
      </c>
      <c r="H20" s="599" t="str">
        <f>IF('Budget &amp; Costs'!I10=0,"",'Budget &amp; Costs'!I10)</f>
        <v/>
      </c>
      <c r="I20" s="599" t="str">
        <f>IF('Budget &amp; Costs'!J10=0,"",'Budget &amp; Costs'!J10)</f>
        <v/>
      </c>
      <c r="J20" s="598" t="str">
        <f>IF('Budget &amp; Costs'!M10=0,"",'Budget &amp; Costs'!M10)</f>
        <v/>
      </c>
      <c r="K20" s="419" t="str">
        <f>IF('Budget &amp; Costs'!N10="N/A","",'Budget &amp; Costs'!N10)</f>
        <v/>
      </c>
      <c r="L20" s="599" t="str">
        <f>IF('Budget &amp; Costs'!O10=0,"",'Budget &amp; Costs'!O10)</f>
        <v/>
      </c>
      <c r="M20" s="599" t="str">
        <f>IF('Budget &amp; Costs'!P10=0,"",'Budget &amp; Costs'!P10)</f>
        <v/>
      </c>
    </row>
    <row r="21" spans="2:13" x14ac:dyDescent="0.25">
      <c r="B21" s="419" t="str">
        <f>IF('Budget &amp; Costs'!C11=0,"",'Budget &amp; Costs'!C11)</f>
        <v/>
      </c>
      <c r="C21" s="419" t="str">
        <f>IF('Budget &amp; Costs'!D11="","",'Budget &amp; Costs'!D11)</f>
        <v/>
      </c>
      <c r="D21" s="419" t="str">
        <f>IF('Budget &amp; Costs'!E11=0,"",'Budget &amp; Costs'!E11)</f>
        <v/>
      </c>
      <c r="E21" s="419" t="str">
        <f>IF('Budget &amp; Costs'!F11=0,"",'Budget &amp; Costs'!F11)</f>
        <v/>
      </c>
      <c r="F21" s="420" t="str">
        <f>IF('Budget &amp; Costs'!G11="","",'Budget &amp; Costs'!G11)</f>
        <v/>
      </c>
      <c r="G21" s="420" t="str">
        <f>IF('Budget &amp; Costs'!H11=0,"",'Budget &amp; Costs'!H11)</f>
        <v/>
      </c>
      <c r="H21" s="599" t="str">
        <f>IF('Budget &amp; Costs'!I11=0,"",'Budget &amp; Costs'!I11)</f>
        <v/>
      </c>
      <c r="I21" s="599" t="str">
        <f>IF('Budget &amp; Costs'!J11=0,"",'Budget &amp; Costs'!J11)</f>
        <v/>
      </c>
      <c r="J21" s="598" t="str">
        <f>IF('Budget &amp; Costs'!M11=0,"",'Budget &amp; Costs'!M11)</f>
        <v/>
      </c>
      <c r="K21" s="419" t="str">
        <f>IF('Budget &amp; Costs'!N11="N/A","",'Budget &amp; Costs'!N11)</f>
        <v/>
      </c>
      <c r="L21" s="599" t="str">
        <f>IF('Budget &amp; Costs'!O11=0,"",'Budget &amp; Costs'!O11)</f>
        <v/>
      </c>
      <c r="M21" s="599" t="str">
        <f>IF('Budget &amp; Costs'!P11=0,"",'Budget &amp; Costs'!P11)</f>
        <v/>
      </c>
    </row>
    <row r="22" spans="2:13" x14ac:dyDescent="0.25">
      <c r="B22" s="419" t="str">
        <f>IF('Budget &amp; Costs'!C12=0,"",'Budget &amp; Costs'!C12)</f>
        <v/>
      </c>
      <c r="C22" s="419" t="str">
        <f>IF('Budget &amp; Costs'!D12="","",'Budget &amp; Costs'!D12)</f>
        <v/>
      </c>
      <c r="D22" s="419" t="str">
        <f>IF('Budget &amp; Costs'!E12=0,"",'Budget &amp; Costs'!E12)</f>
        <v/>
      </c>
      <c r="E22" s="419" t="str">
        <f>IF('Budget &amp; Costs'!F12=0,"",'Budget &amp; Costs'!F12)</f>
        <v/>
      </c>
      <c r="F22" s="420" t="str">
        <f>IF('Budget &amp; Costs'!G12="","",'Budget &amp; Costs'!G12)</f>
        <v/>
      </c>
      <c r="G22" s="420" t="str">
        <f>IF('Budget &amp; Costs'!H12=0,"",'Budget &amp; Costs'!H12)</f>
        <v/>
      </c>
      <c r="H22" s="599" t="str">
        <f>IF('Budget &amp; Costs'!I12=0,"",'Budget &amp; Costs'!I12)</f>
        <v/>
      </c>
      <c r="I22" s="599" t="str">
        <f>IF('Budget &amp; Costs'!J12=0,"",'Budget &amp; Costs'!J12)</f>
        <v/>
      </c>
      <c r="J22" s="598" t="str">
        <f>IF('Budget &amp; Costs'!M12=0,"",'Budget &amp; Costs'!M12)</f>
        <v/>
      </c>
      <c r="K22" s="419" t="str">
        <f>IF('Budget &amp; Costs'!N12="N/A","",'Budget &amp; Costs'!N12)</f>
        <v/>
      </c>
      <c r="L22" s="599" t="str">
        <f>IF('Budget &amp; Costs'!O12=0,"",'Budget &amp; Costs'!O12)</f>
        <v/>
      </c>
      <c r="M22" s="599" t="str">
        <f>IF('Budget &amp; Costs'!P12=0,"",'Budget &amp; Costs'!P12)</f>
        <v/>
      </c>
    </row>
    <row r="23" spans="2:13" x14ac:dyDescent="0.25">
      <c r="B23" s="419" t="str">
        <f>IF('Budget &amp; Costs'!C13=0,"",'Budget &amp; Costs'!C13)</f>
        <v/>
      </c>
      <c r="C23" s="419" t="str">
        <f>IF('Budget &amp; Costs'!D13="","",'Budget &amp; Costs'!D13)</f>
        <v/>
      </c>
      <c r="D23" s="419" t="str">
        <f>IF('Budget &amp; Costs'!E13=0,"",'Budget &amp; Costs'!E13)</f>
        <v/>
      </c>
      <c r="E23" s="419" t="str">
        <f>IF('Budget &amp; Costs'!F13=0,"",'Budget &amp; Costs'!F13)</f>
        <v/>
      </c>
      <c r="F23" s="420" t="str">
        <f>IF('Budget &amp; Costs'!G13="","",'Budget &amp; Costs'!G13)</f>
        <v/>
      </c>
      <c r="G23" s="420" t="str">
        <f>IF('Budget &amp; Costs'!H13=0,"",'Budget &amp; Costs'!H13)</f>
        <v/>
      </c>
      <c r="H23" s="599" t="str">
        <f>IF('Budget &amp; Costs'!I13=0,"",'Budget &amp; Costs'!I13)</f>
        <v/>
      </c>
      <c r="I23" s="599" t="str">
        <f>IF('Budget &amp; Costs'!J13=0,"",'Budget &amp; Costs'!J13)</f>
        <v/>
      </c>
      <c r="J23" s="598" t="str">
        <f>IF('Budget &amp; Costs'!M13=0,"",'Budget &amp; Costs'!M13)</f>
        <v/>
      </c>
      <c r="K23" s="419" t="str">
        <f>IF('Budget &amp; Costs'!N13="N/A","",'Budget &amp; Costs'!N13)</f>
        <v/>
      </c>
      <c r="L23" s="599" t="str">
        <f>IF('Budget &amp; Costs'!O13=0,"",'Budget &amp; Costs'!O13)</f>
        <v/>
      </c>
      <c r="M23" s="599" t="str">
        <f>IF('Budget &amp; Costs'!P13=0,"",'Budget &amp; Costs'!P13)</f>
        <v/>
      </c>
    </row>
    <row r="24" spans="2:13" x14ac:dyDescent="0.25">
      <c r="B24" s="419" t="str">
        <f>IF('Budget &amp; Costs'!C14=0,"",'Budget &amp; Costs'!C14)</f>
        <v/>
      </c>
      <c r="C24" s="419" t="str">
        <f>IF('Budget &amp; Costs'!D14="","",'Budget &amp; Costs'!D14)</f>
        <v/>
      </c>
      <c r="D24" s="419" t="str">
        <f>IF('Budget &amp; Costs'!E14=0,"",'Budget &amp; Costs'!E14)</f>
        <v/>
      </c>
      <c r="E24" s="419" t="str">
        <f>IF('Budget &amp; Costs'!F14=0,"",'Budget &amp; Costs'!F14)</f>
        <v/>
      </c>
      <c r="F24" s="420" t="str">
        <f>IF('Budget &amp; Costs'!G14="","",'Budget &amp; Costs'!G14)</f>
        <v/>
      </c>
      <c r="G24" s="420" t="str">
        <f>IF('Budget &amp; Costs'!H14=0,"",'Budget &amp; Costs'!H14)</f>
        <v/>
      </c>
      <c r="H24" s="599" t="str">
        <f>IF('Budget &amp; Costs'!I14=0,"",'Budget &amp; Costs'!I14)</f>
        <v/>
      </c>
      <c r="I24" s="599" t="str">
        <f>IF('Budget &amp; Costs'!J14=0,"",'Budget &amp; Costs'!J14)</f>
        <v/>
      </c>
      <c r="J24" s="598" t="str">
        <f>IF('Budget &amp; Costs'!M14=0,"",'Budget &amp; Costs'!M14)</f>
        <v/>
      </c>
      <c r="K24" s="419" t="str">
        <f>IF('Budget &amp; Costs'!N14="N/A","",'Budget &amp; Costs'!N14)</f>
        <v/>
      </c>
      <c r="L24" s="599" t="str">
        <f>IF('Budget &amp; Costs'!O14=0,"",'Budget &amp; Costs'!O14)</f>
        <v/>
      </c>
      <c r="M24" s="599" t="str">
        <f>IF('Budget &amp; Costs'!P14=0,"",'Budget &amp; Costs'!P14)</f>
        <v/>
      </c>
    </row>
    <row r="25" spans="2:13" x14ac:dyDescent="0.25">
      <c r="B25" s="419" t="str">
        <f>IF('Budget &amp; Costs'!C15=0,"",'Budget &amp; Costs'!C15)</f>
        <v/>
      </c>
      <c r="C25" s="419" t="str">
        <f>IF('Budget &amp; Costs'!D15="","",'Budget &amp; Costs'!D15)</f>
        <v/>
      </c>
      <c r="D25" s="419" t="str">
        <f>IF('Budget &amp; Costs'!E15=0,"",'Budget &amp; Costs'!E15)</f>
        <v/>
      </c>
      <c r="E25" s="419" t="str">
        <f>IF('Budget &amp; Costs'!F15=0,"",'Budget &amp; Costs'!F15)</f>
        <v/>
      </c>
      <c r="F25" s="420" t="str">
        <f>IF('Budget &amp; Costs'!G15="","",'Budget &amp; Costs'!G15)</f>
        <v/>
      </c>
      <c r="G25" s="420" t="str">
        <f>IF('Budget &amp; Costs'!H15=0,"",'Budget &amp; Costs'!H15)</f>
        <v/>
      </c>
      <c r="H25" s="599" t="str">
        <f>IF('Budget &amp; Costs'!I15=0,"",'Budget &amp; Costs'!I15)</f>
        <v/>
      </c>
      <c r="I25" s="599" t="str">
        <f>IF('Budget &amp; Costs'!J15=0,"",'Budget &amp; Costs'!J15)</f>
        <v/>
      </c>
      <c r="J25" s="598" t="str">
        <f>IF('Budget &amp; Costs'!M15=0,"",'Budget &amp; Costs'!M15)</f>
        <v/>
      </c>
      <c r="K25" s="419" t="str">
        <f>IF('Budget &amp; Costs'!N15="N/A","",'Budget &amp; Costs'!N15)</f>
        <v/>
      </c>
      <c r="L25" s="599" t="str">
        <f>IF('Budget &amp; Costs'!O15=0,"",'Budget &amp; Costs'!O15)</f>
        <v/>
      </c>
      <c r="M25" s="599" t="str">
        <f>IF('Budget &amp; Costs'!P15=0,"",'Budget &amp; Costs'!P15)</f>
        <v/>
      </c>
    </row>
    <row r="26" spans="2:13" x14ac:dyDescent="0.25">
      <c r="B26" s="419" t="str">
        <f>IF('Budget &amp; Costs'!C16=0,"",'Budget &amp; Costs'!C16)</f>
        <v/>
      </c>
      <c r="C26" s="419" t="str">
        <f>IF('Budget &amp; Costs'!D16="","",'Budget &amp; Costs'!D16)</f>
        <v/>
      </c>
      <c r="D26" s="419" t="str">
        <f>IF('Budget &amp; Costs'!E16=0,"",'Budget &amp; Costs'!E16)</f>
        <v/>
      </c>
      <c r="E26" s="419" t="str">
        <f>IF('Budget &amp; Costs'!F16=0,"",'Budget &amp; Costs'!F16)</f>
        <v/>
      </c>
      <c r="F26" s="420" t="str">
        <f>IF('Budget &amp; Costs'!G16="","",'Budget &amp; Costs'!G16)</f>
        <v/>
      </c>
      <c r="G26" s="420" t="str">
        <f>IF('Budget &amp; Costs'!H16=0,"",'Budget &amp; Costs'!H16)</f>
        <v/>
      </c>
      <c r="H26" s="599" t="str">
        <f>IF('Budget &amp; Costs'!I16=0,"",'Budget &amp; Costs'!I16)</f>
        <v/>
      </c>
      <c r="I26" s="599" t="str">
        <f>IF('Budget &amp; Costs'!J16=0,"",'Budget &amp; Costs'!J16)</f>
        <v/>
      </c>
      <c r="J26" s="598" t="str">
        <f>IF('Budget &amp; Costs'!M16=0,"",'Budget &amp; Costs'!M16)</f>
        <v/>
      </c>
      <c r="K26" s="419" t="str">
        <f>IF('Budget &amp; Costs'!N16="N/A","",'Budget &amp; Costs'!N16)</f>
        <v/>
      </c>
      <c r="L26" s="599" t="str">
        <f>IF('Budget &amp; Costs'!O16=0,"",'Budget &amp; Costs'!O16)</f>
        <v/>
      </c>
      <c r="M26" s="599" t="str">
        <f>IF('Budget &amp; Costs'!P16=0,"",'Budget &amp; Costs'!P16)</f>
        <v/>
      </c>
    </row>
    <row r="27" spans="2:13" x14ac:dyDescent="0.25">
      <c r="B27" s="419" t="str">
        <f>IF('Budget &amp; Costs'!C17=0,"",'Budget &amp; Costs'!C17)</f>
        <v/>
      </c>
      <c r="C27" s="419" t="str">
        <f>IF('Budget &amp; Costs'!D17="","",'Budget &amp; Costs'!D17)</f>
        <v/>
      </c>
      <c r="D27" s="419" t="str">
        <f>IF('Budget &amp; Costs'!E17=0,"",'Budget &amp; Costs'!E17)</f>
        <v/>
      </c>
      <c r="E27" s="419" t="str">
        <f>IF('Budget &amp; Costs'!F17=0,"",'Budget &amp; Costs'!F17)</f>
        <v/>
      </c>
      <c r="F27" s="420" t="str">
        <f>IF('Budget &amp; Costs'!G17="","",'Budget &amp; Costs'!G17)</f>
        <v/>
      </c>
      <c r="G27" s="420" t="str">
        <f>IF('Budget &amp; Costs'!H17=0,"",'Budget &amp; Costs'!H17)</f>
        <v/>
      </c>
      <c r="H27" s="599" t="str">
        <f>IF('Budget &amp; Costs'!I17=0,"",'Budget &amp; Costs'!I17)</f>
        <v/>
      </c>
      <c r="I27" s="599" t="str">
        <f>IF('Budget &amp; Costs'!J17=0,"",'Budget &amp; Costs'!J17)</f>
        <v/>
      </c>
      <c r="J27" s="598" t="str">
        <f>IF('Budget &amp; Costs'!M17=0,"",'Budget &amp; Costs'!M17)</f>
        <v/>
      </c>
      <c r="K27" s="419" t="str">
        <f>IF('Budget &amp; Costs'!N17="N/A","",'Budget &amp; Costs'!N17)</f>
        <v/>
      </c>
      <c r="L27" s="599" t="str">
        <f>IF('Budget &amp; Costs'!O17=0,"",'Budget &amp; Costs'!O17)</f>
        <v/>
      </c>
      <c r="M27" s="599" t="str">
        <f>IF('Budget &amp; Costs'!P17=0,"",'Budget &amp; Costs'!P17)</f>
        <v/>
      </c>
    </row>
    <row r="28" spans="2:13" x14ac:dyDescent="0.25">
      <c r="B28" s="419" t="str">
        <f>IF('Budget &amp; Costs'!C18=0,"",'Budget &amp; Costs'!C18)</f>
        <v/>
      </c>
      <c r="C28" s="419" t="str">
        <f>IF('Budget &amp; Costs'!D18="","",'Budget &amp; Costs'!D18)</f>
        <v/>
      </c>
      <c r="D28" s="419" t="str">
        <f>IF('Budget &amp; Costs'!E18=0,"",'Budget &amp; Costs'!E18)</f>
        <v/>
      </c>
      <c r="E28" s="419" t="str">
        <f>IF('Budget &amp; Costs'!F18=0,"",'Budget &amp; Costs'!F18)</f>
        <v/>
      </c>
      <c r="F28" s="420" t="str">
        <f>IF('Budget &amp; Costs'!G18="","",'Budget &amp; Costs'!G18)</f>
        <v/>
      </c>
      <c r="G28" s="420" t="str">
        <f>IF('Budget &amp; Costs'!H18=0,"",'Budget &amp; Costs'!H18)</f>
        <v/>
      </c>
      <c r="H28" s="599" t="str">
        <f>IF('Budget &amp; Costs'!I18=0,"",'Budget &amp; Costs'!I18)</f>
        <v/>
      </c>
      <c r="I28" s="599" t="str">
        <f>IF('Budget &amp; Costs'!J18=0,"",'Budget &amp; Costs'!J18)</f>
        <v/>
      </c>
      <c r="J28" s="598" t="str">
        <f>IF('Budget &amp; Costs'!M18=0,"",'Budget &amp; Costs'!M18)</f>
        <v/>
      </c>
      <c r="K28" s="419" t="str">
        <f>IF('Budget &amp; Costs'!N18="N/A","",'Budget &amp; Costs'!N18)</f>
        <v/>
      </c>
      <c r="L28" s="599" t="str">
        <f>IF('Budget &amp; Costs'!O18=0,"",'Budget &amp; Costs'!O18)</f>
        <v/>
      </c>
      <c r="M28" s="599" t="str">
        <f>IF('Budget &amp; Costs'!P18=0,"",'Budget &amp; Costs'!P18)</f>
        <v/>
      </c>
    </row>
    <row r="29" spans="2:13" x14ac:dyDescent="0.25">
      <c r="B29" s="419" t="str">
        <f>IF('Budget &amp; Costs'!C19=0,"",'Budget &amp; Costs'!C19)</f>
        <v/>
      </c>
      <c r="C29" s="419" t="str">
        <f>IF('Budget &amp; Costs'!D19="","",'Budget &amp; Costs'!D19)</f>
        <v/>
      </c>
      <c r="D29" s="419" t="str">
        <f>IF('Budget &amp; Costs'!E19=0,"",'Budget &amp; Costs'!E19)</f>
        <v/>
      </c>
      <c r="E29" s="419" t="str">
        <f>IF('Budget &amp; Costs'!F19=0,"",'Budget &amp; Costs'!F19)</f>
        <v/>
      </c>
      <c r="F29" s="420" t="str">
        <f>IF('Budget &amp; Costs'!G19="","",'Budget &amp; Costs'!G19)</f>
        <v/>
      </c>
      <c r="G29" s="420" t="str">
        <f>IF('Budget &amp; Costs'!H19=0,"",'Budget &amp; Costs'!H19)</f>
        <v/>
      </c>
      <c r="H29" s="599" t="str">
        <f>IF('Budget &amp; Costs'!I19=0,"",'Budget &amp; Costs'!I19)</f>
        <v/>
      </c>
      <c r="I29" s="599" t="str">
        <f>IF('Budget &amp; Costs'!J19=0,"",'Budget &amp; Costs'!J19)</f>
        <v/>
      </c>
      <c r="J29" s="598" t="str">
        <f>IF('Budget &amp; Costs'!M19=0,"",'Budget &amp; Costs'!M19)</f>
        <v/>
      </c>
      <c r="K29" s="419" t="str">
        <f>IF('Budget &amp; Costs'!N19="N/A","",'Budget &amp; Costs'!N19)</f>
        <v/>
      </c>
      <c r="L29" s="599" t="str">
        <f>IF('Budget &amp; Costs'!O19=0,"",'Budget &amp; Costs'!O19)</f>
        <v/>
      </c>
      <c r="M29" s="599" t="str">
        <f>IF('Budget &amp; Costs'!P19=0,"",'Budget &amp; Costs'!P19)</f>
        <v/>
      </c>
    </row>
    <row r="30" spans="2:13" x14ac:dyDescent="0.25">
      <c r="B30" s="419" t="str">
        <f>IF('Budget &amp; Costs'!C20=0,"",'Budget &amp; Costs'!C20)</f>
        <v/>
      </c>
      <c r="C30" s="419" t="str">
        <f>IF('Budget &amp; Costs'!D20="","",'Budget &amp; Costs'!D20)</f>
        <v/>
      </c>
      <c r="D30" s="419" t="str">
        <f>IF('Budget &amp; Costs'!E20=0,"",'Budget &amp; Costs'!E20)</f>
        <v/>
      </c>
      <c r="E30" s="419" t="str">
        <f>IF('Budget &amp; Costs'!F20=0,"",'Budget &amp; Costs'!F20)</f>
        <v/>
      </c>
      <c r="F30" s="420" t="str">
        <f>IF('Budget &amp; Costs'!G20="","",'Budget &amp; Costs'!G20)</f>
        <v/>
      </c>
      <c r="G30" s="420" t="str">
        <f>IF('Budget &amp; Costs'!H20=0,"",'Budget &amp; Costs'!H20)</f>
        <v/>
      </c>
      <c r="H30" s="599" t="str">
        <f>IF('Budget &amp; Costs'!I20=0,"",'Budget &amp; Costs'!I20)</f>
        <v/>
      </c>
      <c r="I30" s="599" t="str">
        <f>IF('Budget &amp; Costs'!J20=0,"",'Budget &amp; Costs'!J20)</f>
        <v/>
      </c>
      <c r="J30" s="598" t="str">
        <f>IF('Budget &amp; Costs'!M20=0,"",'Budget &amp; Costs'!M20)</f>
        <v/>
      </c>
      <c r="K30" s="419" t="str">
        <f>IF('Budget &amp; Costs'!N20="N/A","",'Budget &amp; Costs'!N20)</f>
        <v/>
      </c>
      <c r="L30" s="599" t="str">
        <f>IF('Budget &amp; Costs'!O20=0,"",'Budget &amp; Costs'!O20)</f>
        <v/>
      </c>
      <c r="M30" s="599" t="str">
        <f>IF('Budget &amp; Costs'!P20=0,"",'Budget &amp; Costs'!P20)</f>
        <v/>
      </c>
    </row>
    <row r="31" spans="2:13" x14ac:dyDescent="0.25">
      <c r="B31" s="419" t="str">
        <f>IF('Budget &amp; Costs'!C21=0,"",'Budget &amp; Costs'!C21)</f>
        <v/>
      </c>
      <c r="C31" s="419" t="str">
        <f>IF('Budget &amp; Costs'!D21="","",'Budget &amp; Costs'!D21)</f>
        <v/>
      </c>
      <c r="D31" s="419" t="str">
        <f>IF('Budget &amp; Costs'!E21=0,"",'Budget &amp; Costs'!E21)</f>
        <v/>
      </c>
      <c r="E31" s="419" t="str">
        <f>IF('Budget &amp; Costs'!F21=0,"",'Budget &amp; Costs'!F21)</f>
        <v/>
      </c>
      <c r="F31" s="420" t="str">
        <f>IF('Budget &amp; Costs'!G21="","",'Budget &amp; Costs'!G21)</f>
        <v/>
      </c>
      <c r="G31" s="420" t="str">
        <f>IF('Budget &amp; Costs'!H21=0,"",'Budget &amp; Costs'!H21)</f>
        <v/>
      </c>
      <c r="H31" s="599" t="str">
        <f>IF('Budget &amp; Costs'!I21=0,"",'Budget &amp; Costs'!I21)</f>
        <v/>
      </c>
      <c r="I31" s="599" t="str">
        <f>IF('Budget &amp; Costs'!J21=0,"",'Budget &amp; Costs'!J21)</f>
        <v/>
      </c>
      <c r="J31" s="598" t="str">
        <f>IF('Budget &amp; Costs'!M21=0,"",'Budget &amp; Costs'!M21)</f>
        <v/>
      </c>
      <c r="K31" s="419" t="str">
        <f>IF('Budget &amp; Costs'!N21="N/A","",'Budget &amp; Costs'!N21)</f>
        <v/>
      </c>
      <c r="L31" s="599" t="str">
        <f>IF('Budget &amp; Costs'!O21=0,"",'Budget &amp; Costs'!O21)</f>
        <v/>
      </c>
      <c r="M31" s="599" t="str">
        <f>IF('Budget &amp; Costs'!P21=0,"",'Budget &amp; Costs'!P21)</f>
        <v/>
      </c>
    </row>
    <row r="32" spans="2:13" x14ac:dyDescent="0.25">
      <c r="B32" s="419" t="str">
        <f>IF('Budget &amp; Costs'!C22=0,"",'Budget &amp; Costs'!C22)</f>
        <v/>
      </c>
      <c r="C32" s="419" t="str">
        <f>IF('Budget &amp; Costs'!D22="","",'Budget &amp; Costs'!D22)</f>
        <v/>
      </c>
      <c r="D32" s="419" t="str">
        <f>IF('Budget &amp; Costs'!E22=0,"",'Budget &amp; Costs'!E22)</f>
        <v/>
      </c>
      <c r="E32" s="419" t="str">
        <f>IF('Budget &amp; Costs'!F22=0,"",'Budget &amp; Costs'!F22)</f>
        <v/>
      </c>
      <c r="F32" s="420" t="str">
        <f>IF('Budget &amp; Costs'!G22="","",'Budget &amp; Costs'!G22)</f>
        <v/>
      </c>
      <c r="G32" s="420" t="str">
        <f>IF('Budget &amp; Costs'!H22=0,"",'Budget &amp; Costs'!H22)</f>
        <v/>
      </c>
      <c r="H32" s="599" t="str">
        <f>IF('Budget &amp; Costs'!I22=0,"",'Budget &amp; Costs'!I22)</f>
        <v/>
      </c>
      <c r="I32" s="599" t="str">
        <f>IF('Budget &amp; Costs'!J22=0,"",'Budget &amp; Costs'!J22)</f>
        <v/>
      </c>
      <c r="J32" s="598" t="str">
        <f>IF('Budget &amp; Costs'!M22=0,"",'Budget &amp; Costs'!M22)</f>
        <v/>
      </c>
      <c r="K32" s="419" t="str">
        <f>IF('Budget &amp; Costs'!N22="N/A","",'Budget &amp; Costs'!N22)</f>
        <v/>
      </c>
      <c r="L32" s="599" t="str">
        <f>IF('Budget &amp; Costs'!O22=0,"",'Budget &amp; Costs'!O22)</f>
        <v/>
      </c>
      <c r="M32" s="599" t="str">
        <f>IF('Budget &amp; Costs'!P22=0,"",'Budget &amp; Costs'!P22)</f>
        <v/>
      </c>
    </row>
    <row r="33" spans="2:13" x14ac:dyDescent="0.25">
      <c r="B33" s="419" t="str">
        <f>IF('Budget &amp; Costs'!C23=0,"",'Budget &amp; Costs'!C23)</f>
        <v/>
      </c>
      <c r="C33" s="419" t="str">
        <f>IF('Budget &amp; Costs'!D23="","",'Budget &amp; Costs'!D23)</f>
        <v/>
      </c>
      <c r="D33" s="419" t="str">
        <f>IF('Budget &amp; Costs'!E23=0,"",'Budget &amp; Costs'!E23)</f>
        <v/>
      </c>
      <c r="E33" s="419" t="str">
        <f>IF('Budget &amp; Costs'!F23=0,"",'Budget &amp; Costs'!F23)</f>
        <v/>
      </c>
      <c r="F33" s="420" t="str">
        <f>IF('Budget &amp; Costs'!G23="","",'Budget &amp; Costs'!G23)</f>
        <v/>
      </c>
      <c r="G33" s="420" t="str">
        <f>IF('Budget &amp; Costs'!H23=0,"",'Budget &amp; Costs'!H23)</f>
        <v/>
      </c>
      <c r="H33" s="599" t="str">
        <f>IF('Budget &amp; Costs'!I23=0,"",'Budget &amp; Costs'!I23)</f>
        <v/>
      </c>
      <c r="I33" s="599" t="str">
        <f>IF('Budget &amp; Costs'!J23=0,"",'Budget &amp; Costs'!J23)</f>
        <v/>
      </c>
      <c r="J33" s="598" t="str">
        <f>IF('Budget &amp; Costs'!M23=0,"",'Budget &amp; Costs'!M23)</f>
        <v/>
      </c>
      <c r="K33" s="419" t="str">
        <f>IF('Budget &amp; Costs'!N23="N/A","",'Budget &amp; Costs'!N23)</f>
        <v/>
      </c>
      <c r="L33" s="599" t="str">
        <f>IF('Budget &amp; Costs'!O23=0,"",'Budget &amp; Costs'!O23)</f>
        <v/>
      </c>
      <c r="M33" s="599" t="str">
        <f>IF('Budget &amp; Costs'!P23=0,"",'Budget &amp; Costs'!P23)</f>
        <v/>
      </c>
    </row>
    <row r="34" spans="2:13" x14ac:dyDescent="0.25">
      <c r="B34" s="419" t="str">
        <f>IF('Budget &amp; Costs'!C24=0,"",'Budget &amp; Costs'!C24)</f>
        <v/>
      </c>
      <c r="C34" s="419" t="str">
        <f>IF('Budget &amp; Costs'!D24="","",'Budget &amp; Costs'!D24)</f>
        <v/>
      </c>
      <c r="D34" s="419" t="str">
        <f>IF('Budget &amp; Costs'!E24=0,"",'Budget &amp; Costs'!E24)</f>
        <v/>
      </c>
      <c r="E34" s="419" t="str">
        <f>IF('Budget &amp; Costs'!F24=0,"",'Budget &amp; Costs'!F24)</f>
        <v/>
      </c>
      <c r="F34" s="420" t="str">
        <f>IF('Budget &amp; Costs'!G24="","",'Budget &amp; Costs'!G24)</f>
        <v/>
      </c>
      <c r="G34" s="420" t="str">
        <f>IF('Budget &amp; Costs'!H24=0,"",'Budget &amp; Costs'!H24)</f>
        <v/>
      </c>
      <c r="H34" s="599" t="str">
        <f>IF('Budget &amp; Costs'!I24=0,"",'Budget &amp; Costs'!I24)</f>
        <v/>
      </c>
      <c r="I34" s="599" t="str">
        <f>IF('Budget &amp; Costs'!J24=0,"",'Budget &amp; Costs'!J24)</f>
        <v/>
      </c>
      <c r="J34" s="598" t="str">
        <f>IF('Budget &amp; Costs'!M24=0,"",'Budget &amp; Costs'!M24)</f>
        <v/>
      </c>
      <c r="K34" s="419" t="str">
        <f>IF('Budget &amp; Costs'!N24="N/A","",'Budget &amp; Costs'!N24)</f>
        <v/>
      </c>
      <c r="L34" s="599" t="str">
        <f>IF('Budget &amp; Costs'!O24=0,"",'Budget &amp; Costs'!O24)</f>
        <v/>
      </c>
      <c r="M34" s="599" t="str">
        <f>IF('Budget &amp; Costs'!P24=0,"",'Budget &amp; Costs'!P24)</f>
        <v/>
      </c>
    </row>
    <row r="35" spans="2:13" x14ac:dyDescent="0.25">
      <c r="B35" s="419" t="str">
        <f>IF('Budget &amp; Costs'!C25=0,"",'Budget &amp; Costs'!C25)</f>
        <v/>
      </c>
      <c r="C35" s="419" t="str">
        <f>IF('Budget &amp; Costs'!D25="","",'Budget &amp; Costs'!D25)</f>
        <v/>
      </c>
      <c r="D35" s="419" t="str">
        <f>IF('Budget &amp; Costs'!E25=0,"",'Budget &amp; Costs'!E25)</f>
        <v/>
      </c>
      <c r="E35" s="419" t="str">
        <f>IF('Budget &amp; Costs'!F25=0,"",'Budget &amp; Costs'!F25)</f>
        <v/>
      </c>
      <c r="F35" s="420" t="str">
        <f>IF('Budget &amp; Costs'!G25="","",'Budget &amp; Costs'!G25)</f>
        <v/>
      </c>
      <c r="G35" s="420" t="str">
        <f>IF('Budget &amp; Costs'!H25=0,"",'Budget &amp; Costs'!H25)</f>
        <v/>
      </c>
      <c r="H35" s="599" t="str">
        <f>IF('Budget &amp; Costs'!I25=0,"",'Budget &amp; Costs'!I25)</f>
        <v/>
      </c>
      <c r="I35" s="599" t="str">
        <f>IF('Budget &amp; Costs'!J25=0,"",'Budget &amp; Costs'!J25)</f>
        <v/>
      </c>
      <c r="J35" s="598" t="str">
        <f>IF('Budget &amp; Costs'!M25=0,"",'Budget &amp; Costs'!M25)</f>
        <v/>
      </c>
      <c r="K35" s="419" t="str">
        <f>IF('Budget &amp; Costs'!N25="N/A","",'Budget &amp; Costs'!N25)</f>
        <v/>
      </c>
      <c r="L35" s="599" t="str">
        <f>IF('Budget &amp; Costs'!O25=0,"",'Budget &amp; Costs'!O25)</f>
        <v/>
      </c>
      <c r="M35" s="599" t="str">
        <f>IF('Budget &amp; Costs'!P25=0,"",'Budget &amp; Costs'!P25)</f>
        <v/>
      </c>
    </row>
    <row r="36" spans="2:13" x14ac:dyDescent="0.25">
      <c r="B36" s="419" t="str">
        <f>IF('Budget &amp; Costs'!C26=0,"",'Budget &amp; Costs'!C26)</f>
        <v/>
      </c>
      <c r="C36" s="419" t="str">
        <f>IF('Budget &amp; Costs'!D26="","",'Budget &amp; Costs'!D26)</f>
        <v/>
      </c>
      <c r="D36" s="419" t="str">
        <f>IF('Budget &amp; Costs'!E26=0,"",'Budget &amp; Costs'!E26)</f>
        <v/>
      </c>
      <c r="E36" s="419" t="str">
        <f>IF('Budget &amp; Costs'!F26=0,"",'Budget &amp; Costs'!F26)</f>
        <v/>
      </c>
      <c r="F36" s="420" t="str">
        <f>IF('Budget &amp; Costs'!G26="","",'Budget &amp; Costs'!G26)</f>
        <v/>
      </c>
      <c r="G36" s="420" t="str">
        <f>IF('Budget &amp; Costs'!H26=0,"",'Budget &amp; Costs'!H26)</f>
        <v/>
      </c>
      <c r="H36" s="599" t="str">
        <f>IF('Budget &amp; Costs'!I26=0,"",'Budget &amp; Costs'!I26)</f>
        <v/>
      </c>
      <c r="I36" s="599" t="str">
        <f>IF('Budget &amp; Costs'!J26=0,"",'Budget &amp; Costs'!J26)</f>
        <v/>
      </c>
      <c r="J36" s="598" t="str">
        <f>IF('Budget &amp; Costs'!M26=0,"",'Budget &amp; Costs'!M26)</f>
        <v/>
      </c>
      <c r="K36" s="419" t="str">
        <f>IF('Budget &amp; Costs'!N26="N/A","",'Budget &amp; Costs'!N26)</f>
        <v/>
      </c>
      <c r="L36" s="599" t="str">
        <f>IF('Budget &amp; Costs'!O26=0,"",'Budget &amp; Costs'!O26)</f>
        <v/>
      </c>
      <c r="M36" s="599" t="str">
        <f>IF('Budget &amp; Costs'!P26=0,"",'Budget &amp; Costs'!P26)</f>
        <v/>
      </c>
    </row>
    <row r="37" spans="2:13" x14ac:dyDescent="0.25">
      <c r="B37" s="419" t="str">
        <f>IF('Budget &amp; Costs'!C27=0,"",'Budget &amp; Costs'!C27)</f>
        <v/>
      </c>
      <c r="C37" s="419" t="str">
        <f>IF('Budget &amp; Costs'!D27="","",'Budget &amp; Costs'!D27)</f>
        <v/>
      </c>
      <c r="D37" s="419" t="str">
        <f>IF('Budget &amp; Costs'!E27=0,"",'Budget &amp; Costs'!E27)</f>
        <v/>
      </c>
      <c r="E37" s="419" t="str">
        <f>IF('Budget &amp; Costs'!F27=0,"",'Budget &amp; Costs'!F27)</f>
        <v/>
      </c>
      <c r="F37" s="420" t="str">
        <f>IF('Budget &amp; Costs'!G27="","",'Budget &amp; Costs'!G27)</f>
        <v/>
      </c>
      <c r="G37" s="420" t="str">
        <f>IF('Budget &amp; Costs'!H27=0,"",'Budget &amp; Costs'!H27)</f>
        <v/>
      </c>
      <c r="H37" s="599" t="str">
        <f>IF('Budget &amp; Costs'!I27=0,"",'Budget &amp; Costs'!I27)</f>
        <v/>
      </c>
      <c r="I37" s="599" t="str">
        <f>IF('Budget &amp; Costs'!J27=0,"",'Budget &amp; Costs'!J27)</f>
        <v/>
      </c>
      <c r="J37" s="598" t="str">
        <f>IF('Budget &amp; Costs'!M27=0,"",'Budget &amp; Costs'!M27)</f>
        <v/>
      </c>
      <c r="K37" s="419" t="str">
        <f>IF('Budget &amp; Costs'!N27="N/A","",'Budget &amp; Costs'!N27)</f>
        <v/>
      </c>
      <c r="L37" s="599" t="str">
        <f>IF('Budget &amp; Costs'!O27=0,"",'Budget &amp; Costs'!O27)</f>
        <v/>
      </c>
      <c r="M37" s="599" t="str">
        <f>IF('Budget &amp; Costs'!P27=0,"",'Budget &amp; Costs'!P27)</f>
        <v/>
      </c>
    </row>
    <row r="38" spans="2:13" x14ac:dyDescent="0.25">
      <c r="B38" s="419" t="str">
        <f>IF('Budget &amp; Costs'!C28=0,"",'Budget &amp; Costs'!C28)</f>
        <v/>
      </c>
      <c r="C38" s="419" t="str">
        <f>IF('Budget &amp; Costs'!D28="","",'Budget &amp; Costs'!D28)</f>
        <v/>
      </c>
      <c r="D38" s="419" t="str">
        <f>IF('Budget &amp; Costs'!E28=0,"",'Budget &amp; Costs'!E28)</f>
        <v/>
      </c>
      <c r="E38" s="419" t="str">
        <f>IF('Budget &amp; Costs'!F28=0,"",'Budget &amp; Costs'!F28)</f>
        <v/>
      </c>
      <c r="F38" s="420" t="str">
        <f>IF('Budget &amp; Costs'!G28="","",'Budget &amp; Costs'!G28)</f>
        <v/>
      </c>
      <c r="G38" s="420" t="str">
        <f>IF('Budget &amp; Costs'!H28=0,"",'Budget &amp; Costs'!H28)</f>
        <v/>
      </c>
      <c r="H38" s="599" t="str">
        <f>IF('Budget &amp; Costs'!I28=0,"",'Budget &amp; Costs'!I28)</f>
        <v/>
      </c>
      <c r="I38" s="599" t="str">
        <f>IF('Budget &amp; Costs'!J28=0,"",'Budget &amp; Costs'!J28)</f>
        <v/>
      </c>
      <c r="J38" s="598" t="str">
        <f>IF('Budget &amp; Costs'!M28=0,"",'Budget &amp; Costs'!M28)</f>
        <v/>
      </c>
      <c r="K38" s="419" t="str">
        <f>IF('Budget &amp; Costs'!N28="N/A","",'Budget &amp; Costs'!N28)</f>
        <v/>
      </c>
      <c r="L38" s="599" t="str">
        <f>IF('Budget &amp; Costs'!O28=0,"",'Budget &amp; Costs'!O28)</f>
        <v/>
      </c>
      <c r="M38" s="599" t="str">
        <f>IF('Budget &amp; Costs'!P28=0,"",'Budget &amp; Costs'!P28)</f>
        <v/>
      </c>
    </row>
    <row r="39" spans="2:13" x14ac:dyDescent="0.25">
      <c r="B39" s="419" t="str">
        <f>IF('Budget &amp; Costs'!C29=0,"",'Budget &amp; Costs'!C29)</f>
        <v/>
      </c>
      <c r="C39" s="419" t="str">
        <f>IF('Budget &amp; Costs'!D29="","",'Budget &amp; Costs'!D29)</f>
        <v/>
      </c>
      <c r="D39" s="419" t="str">
        <f>IF('Budget &amp; Costs'!E29=0,"",'Budget &amp; Costs'!E29)</f>
        <v/>
      </c>
      <c r="E39" s="419" t="str">
        <f>IF('Budget &amp; Costs'!F29=0,"",'Budget &amp; Costs'!F29)</f>
        <v/>
      </c>
      <c r="F39" s="420" t="str">
        <f>IF('Budget &amp; Costs'!G29="","",'Budget &amp; Costs'!G29)</f>
        <v/>
      </c>
      <c r="G39" s="420" t="str">
        <f>IF('Budget &amp; Costs'!H29=0,"",'Budget &amp; Costs'!H29)</f>
        <v/>
      </c>
      <c r="H39" s="599" t="str">
        <f>IF('Budget &amp; Costs'!I29=0,"",'Budget &amp; Costs'!I29)</f>
        <v/>
      </c>
      <c r="I39" s="599" t="str">
        <f>IF('Budget &amp; Costs'!J29=0,"",'Budget &amp; Costs'!J29)</f>
        <v/>
      </c>
      <c r="J39" s="598" t="str">
        <f>IF('Budget &amp; Costs'!M29=0,"",'Budget &amp; Costs'!M29)</f>
        <v/>
      </c>
      <c r="K39" s="419" t="str">
        <f>IF('Budget &amp; Costs'!N29="N/A","",'Budget &amp; Costs'!N29)</f>
        <v/>
      </c>
      <c r="L39" s="599" t="str">
        <f>IF('Budget &amp; Costs'!O29=0,"",'Budget &amp; Costs'!O29)</f>
        <v/>
      </c>
      <c r="M39" s="599" t="str">
        <f>IF('Budget &amp; Costs'!P29=0,"",'Budget &amp; Costs'!P29)</f>
        <v/>
      </c>
    </row>
    <row r="40" spans="2:13" x14ac:dyDescent="0.25">
      <c r="B40" s="419" t="str">
        <f>IF('Budget &amp; Costs'!C30=0,"",'Budget &amp; Costs'!C30)</f>
        <v/>
      </c>
      <c r="C40" s="419" t="str">
        <f>IF('Budget &amp; Costs'!D30="","",'Budget &amp; Costs'!D30)</f>
        <v/>
      </c>
      <c r="D40" s="419" t="str">
        <f>IF('Budget &amp; Costs'!E30=0,"",'Budget &amp; Costs'!E30)</f>
        <v/>
      </c>
      <c r="E40" s="419" t="str">
        <f>IF('Budget &amp; Costs'!F30=0,"",'Budget &amp; Costs'!F30)</f>
        <v/>
      </c>
      <c r="F40" s="420" t="str">
        <f>IF('Budget &amp; Costs'!G30="","",'Budget &amp; Costs'!G30)</f>
        <v/>
      </c>
      <c r="G40" s="420" t="str">
        <f>IF('Budget &amp; Costs'!H30=0,"",'Budget &amp; Costs'!H30)</f>
        <v/>
      </c>
      <c r="H40" s="599" t="str">
        <f>IF('Budget &amp; Costs'!I30=0,"",'Budget &amp; Costs'!I30)</f>
        <v/>
      </c>
      <c r="I40" s="599" t="str">
        <f>IF('Budget &amp; Costs'!J30=0,"",'Budget &amp; Costs'!J30)</f>
        <v/>
      </c>
      <c r="J40" s="598" t="str">
        <f>IF('Budget &amp; Costs'!M30=0,"",'Budget &amp; Costs'!M30)</f>
        <v/>
      </c>
      <c r="K40" s="419" t="str">
        <f>IF('Budget &amp; Costs'!N30="N/A","",'Budget &amp; Costs'!N30)</f>
        <v/>
      </c>
      <c r="L40" s="599" t="str">
        <f>IF('Budget &amp; Costs'!O30=0,"",'Budget &amp; Costs'!O30)</f>
        <v/>
      </c>
      <c r="M40" s="599" t="str">
        <f>IF('Budget &amp; Costs'!P30=0,"",'Budget &amp; Costs'!P30)</f>
        <v/>
      </c>
    </row>
    <row r="41" spans="2:13" x14ac:dyDescent="0.25">
      <c r="B41" s="419" t="str">
        <f>IF('Budget &amp; Costs'!C31=0,"",'Budget &amp; Costs'!C31)</f>
        <v/>
      </c>
      <c r="C41" s="419" t="str">
        <f>IF('Budget &amp; Costs'!D31="","",'Budget &amp; Costs'!D31)</f>
        <v/>
      </c>
      <c r="D41" s="419" t="str">
        <f>IF('Budget &amp; Costs'!E31=0,"",'Budget &amp; Costs'!E31)</f>
        <v/>
      </c>
      <c r="E41" s="419" t="str">
        <f>IF('Budget &amp; Costs'!F31=0,"",'Budget &amp; Costs'!F31)</f>
        <v/>
      </c>
      <c r="F41" s="420" t="str">
        <f>IF('Budget &amp; Costs'!G31="","",'Budget &amp; Costs'!G31)</f>
        <v/>
      </c>
      <c r="G41" s="420" t="str">
        <f>IF('Budget &amp; Costs'!H31=0,"",'Budget &amp; Costs'!H31)</f>
        <v/>
      </c>
      <c r="H41" s="599" t="str">
        <f>IF('Budget &amp; Costs'!I31=0,"",'Budget &amp; Costs'!I31)</f>
        <v/>
      </c>
      <c r="I41" s="599" t="str">
        <f>IF('Budget &amp; Costs'!J31=0,"",'Budget &amp; Costs'!J31)</f>
        <v/>
      </c>
      <c r="J41" s="598" t="str">
        <f>IF('Budget &amp; Costs'!M31=0,"",'Budget &amp; Costs'!M31)</f>
        <v/>
      </c>
      <c r="K41" s="419" t="str">
        <f>IF('Budget &amp; Costs'!N31="N/A","",'Budget &amp; Costs'!N31)</f>
        <v/>
      </c>
      <c r="L41" s="599" t="str">
        <f>IF('Budget &amp; Costs'!O31=0,"",'Budget &amp; Costs'!O31)</f>
        <v/>
      </c>
      <c r="M41" s="599" t="str">
        <f>IF('Budget &amp; Costs'!P31=0,"",'Budget &amp; Costs'!P31)</f>
        <v/>
      </c>
    </row>
    <row r="42" spans="2:13" x14ac:dyDescent="0.25">
      <c r="B42" s="419" t="str">
        <f>IF('Budget &amp; Costs'!C32=0,"",'Budget &amp; Costs'!C32)</f>
        <v/>
      </c>
      <c r="C42" s="419" t="str">
        <f>IF('Budget &amp; Costs'!D32="","",'Budget &amp; Costs'!D32)</f>
        <v/>
      </c>
      <c r="D42" s="419" t="str">
        <f>IF('Budget &amp; Costs'!E32=0,"",'Budget &amp; Costs'!E32)</f>
        <v/>
      </c>
      <c r="E42" s="419" t="str">
        <f>IF('Budget &amp; Costs'!F32=0,"",'Budget &amp; Costs'!F32)</f>
        <v/>
      </c>
      <c r="F42" s="420" t="str">
        <f>IF('Budget &amp; Costs'!G32="","",'Budget &amp; Costs'!G32)</f>
        <v/>
      </c>
      <c r="G42" s="420" t="str">
        <f>IF('Budget &amp; Costs'!H32=0,"",'Budget &amp; Costs'!H32)</f>
        <v/>
      </c>
      <c r="H42" s="599" t="str">
        <f>IF('Budget &amp; Costs'!I32=0,"",'Budget &amp; Costs'!I32)</f>
        <v/>
      </c>
      <c r="I42" s="599" t="str">
        <f>IF('Budget &amp; Costs'!J32=0,"",'Budget &amp; Costs'!J32)</f>
        <v/>
      </c>
      <c r="J42" s="598" t="str">
        <f>IF('Budget &amp; Costs'!M32=0,"",'Budget &amp; Costs'!M32)</f>
        <v/>
      </c>
      <c r="K42" s="419" t="str">
        <f>IF('Budget &amp; Costs'!N32="N/A","",'Budget &amp; Costs'!N32)</f>
        <v/>
      </c>
      <c r="L42" s="599" t="str">
        <f>IF('Budget &amp; Costs'!O32=0,"",'Budget &amp; Costs'!O32)</f>
        <v/>
      </c>
      <c r="M42" s="599" t="str">
        <f>IF('Budget &amp; Costs'!P32=0,"",'Budget &amp; Costs'!P32)</f>
        <v/>
      </c>
    </row>
    <row r="43" spans="2:13" x14ac:dyDescent="0.25">
      <c r="B43" s="419" t="str">
        <f>IF('Budget &amp; Costs'!C33=0,"",'Budget &amp; Costs'!C33)</f>
        <v/>
      </c>
      <c r="C43" s="419" t="str">
        <f>IF('Budget &amp; Costs'!D33="","",'Budget &amp; Costs'!D33)</f>
        <v/>
      </c>
      <c r="D43" s="419" t="str">
        <f>IF('Budget &amp; Costs'!E33=0,"",'Budget &amp; Costs'!E33)</f>
        <v/>
      </c>
      <c r="E43" s="419" t="str">
        <f>IF('Budget &amp; Costs'!F33=0,"",'Budget &amp; Costs'!F33)</f>
        <v/>
      </c>
      <c r="F43" s="420" t="str">
        <f>IF('Budget &amp; Costs'!G33="","",'Budget &amp; Costs'!G33)</f>
        <v/>
      </c>
      <c r="G43" s="420" t="str">
        <f>IF('Budget &amp; Costs'!H33=0,"",'Budget &amp; Costs'!H33)</f>
        <v/>
      </c>
      <c r="H43" s="599" t="str">
        <f>IF('Budget &amp; Costs'!I33=0,"",'Budget &amp; Costs'!I33)</f>
        <v/>
      </c>
      <c r="I43" s="599" t="str">
        <f>IF('Budget &amp; Costs'!J33=0,"",'Budget &amp; Costs'!J33)</f>
        <v/>
      </c>
      <c r="J43" s="598" t="str">
        <f>IF('Budget &amp; Costs'!M33=0,"",'Budget &amp; Costs'!M33)</f>
        <v/>
      </c>
      <c r="K43" s="419" t="str">
        <f>IF('Budget &amp; Costs'!N33="N/A","",'Budget &amp; Costs'!N33)</f>
        <v/>
      </c>
      <c r="L43" s="599" t="str">
        <f>IF('Budget &amp; Costs'!O33=0,"",'Budget &amp; Costs'!O33)</f>
        <v/>
      </c>
      <c r="M43" s="599" t="str">
        <f>IF('Budget &amp; Costs'!P33=0,"",'Budget &amp; Costs'!P33)</f>
        <v/>
      </c>
    </row>
    <row r="44" spans="2:13" x14ac:dyDescent="0.25">
      <c r="B44" s="419" t="str">
        <f>IF('Budget &amp; Costs'!C34=0,"",'Budget &amp; Costs'!C34)</f>
        <v/>
      </c>
      <c r="C44" s="419" t="str">
        <f>IF('Budget &amp; Costs'!D34="","",'Budget &amp; Costs'!D34)</f>
        <v/>
      </c>
      <c r="D44" s="419" t="str">
        <f>IF('Budget &amp; Costs'!E34=0,"",'Budget &amp; Costs'!E34)</f>
        <v/>
      </c>
      <c r="E44" s="419" t="str">
        <f>IF('Budget &amp; Costs'!F34=0,"",'Budget &amp; Costs'!F34)</f>
        <v/>
      </c>
      <c r="F44" s="420" t="str">
        <f>IF('Budget &amp; Costs'!G34="","",'Budget &amp; Costs'!G34)</f>
        <v/>
      </c>
      <c r="G44" s="420" t="str">
        <f>IF('Budget &amp; Costs'!H34=0,"",'Budget &amp; Costs'!H34)</f>
        <v/>
      </c>
      <c r="H44" s="599" t="str">
        <f>IF('Budget &amp; Costs'!I34=0,"",'Budget &amp; Costs'!I34)</f>
        <v/>
      </c>
      <c r="I44" s="599" t="str">
        <f>IF('Budget &amp; Costs'!J34=0,"",'Budget &amp; Costs'!J34)</f>
        <v/>
      </c>
      <c r="J44" s="598" t="str">
        <f>IF('Budget &amp; Costs'!M34=0,"",'Budget &amp; Costs'!M34)</f>
        <v/>
      </c>
      <c r="K44" s="419" t="str">
        <f>IF('Budget &amp; Costs'!N34="N/A","",'Budget &amp; Costs'!N34)</f>
        <v/>
      </c>
      <c r="L44" s="599" t="str">
        <f>IF('Budget &amp; Costs'!O34=0,"",'Budget &amp; Costs'!O34)</f>
        <v/>
      </c>
      <c r="M44" s="599" t="str">
        <f>IF('Budget &amp; Costs'!P34=0,"",'Budget &amp; Costs'!P34)</f>
        <v/>
      </c>
    </row>
    <row r="45" spans="2:13" x14ac:dyDescent="0.25">
      <c r="B45" s="218">
        <f>'Budget &amp; Costs'!C45</f>
        <v>0</v>
      </c>
      <c r="C45" s="218" t="str">
        <f>'Budget &amp; Costs'!D45</f>
        <v xml:space="preserve"> TOTAL</v>
      </c>
      <c r="D45" s="218"/>
      <c r="E45" s="218"/>
      <c r="F45" s="422"/>
      <c r="G45" s="422"/>
      <c r="H45" s="423"/>
      <c r="I45" s="423"/>
      <c r="J45" s="424"/>
      <c r="K45" s="218"/>
      <c r="L45" s="423"/>
      <c r="M45" s="648">
        <f>'Budget &amp; Costs'!P45</f>
        <v>0</v>
      </c>
    </row>
    <row r="47" spans="2:13" x14ac:dyDescent="0.25">
      <c r="B47" s="719" t="s">
        <v>816</v>
      </c>
      <c r="C47" s="720"/>
      <c r="D47" s="720"/>
      <c r="E47" s="721"/>
      <c r="G47" s="719" t="s">
        <v>817</v>
      </c>
      <c r="H47" s="720"/>
      <c r="I47" s="720"/>
      <c r="J47" s="721"/>
      <c r="L47" s="719" t="s">
        <v>4899</v>
      </c>
      <c r="M47" s="721"/>
    </row>
    <row r="48" spans="2:13" x14ac:dyDescent="0.25">
      <c r="B48" s="853" t="s">
        <v>1604</v>
      </c>
      <c r="C48" s="854"/>
      <c r="D48" s="854"/>
      <c r="E48" s="594">
        <f>'Budget &amp; Costs'!G209</f>
        <v>0</v>
      </c>
      <c r="G48" s="853" t="s">
        <v>1604</v>
      </c>
      <c r="H48" s="854"/>
      <c r="I48" s="854"/>
      <c r="J48" s="594">
        <f>'Budget &amp; Costs'!G237</f>
        <v>0</v>
      </c>
      <c r="L48" s="76" t="s">
        <v>1608</v>
      </c>
      <c r="M48" s="596">
        <f>LIHTCs!C43</f>
        <v>0</v>
      </c>
    </row>
    <row r="49" spans="2:13" x14ac:dyDescent="0.25">
      <c r="B49" s="853" t="s">
        <v>346</v>
      </c>
      <c r="C49" s="854"/>
      <c r="D49" s="854"/>
      <c r="E49" s="594">
        <f>'Budget &amp; Costs'!G211</f>
        <v>0</v>
      </c>
      <c r="G49" s="853" t="s">
        <v>346</v>
      </c>
      <c r="H49" s="854"/>
      <c r="I49" s="854"/>
      <c r="J49" s="594">
        <f>'Budget &amp; Costs'!G238</f>
        <v>0</v>
      </c>
      <c r="L49" s="76" t="s">
        <v>1610</v>
      </c>
      <c r="M49" s="596">
        <f>LIHTCs!C45</f>
        <v>0</v>
      </c>
    </row>
    <row r="50" spans="2:13" x14ac:dyDescent="0.25">
      <c r="B50" s="853" t="s">
        <v>347</v>
      </c>
      <c r="C50" s="854"/>
      <c r="D50" s="854"/>
      <c r="E50" s="594">
        <f>'Budget &amp; Costs'!G210</f>
        <v>0</v>
      </c>
      <c r="G50" s="853" t="s">
        <v>347</v>
      </c>
      <c r="H50" s="854"/>
      <c r="I50" s="854"/>
      <c r="J50" s="594">
        <f>'Budget &amp; Costs'!G239</f>
        <v>0</v>
      </c>
      <c r="L50" s="76" t="s">
        <v>1609</v>
      </c>
      <c r="M50" s="607">
        <f>LIHTCs!C56</f>
        <v>0</v>
      </c>
    </row>
    <row r="51" spans="2:13" x14ac:dyDescent="0.25">
      <c r="B51" s="853" t="s">
        <v>345</v>
      </c>
      <c r="C51" s="854"/>
      <c r="D51" s="854"/>
      <c r="E51" s="594">
        <f>'Budget &amp; Costs'!G208</f>
        <v>0</v>
      </c>
      <c r="G51" s="853" t="s">
        <v>852</v>
      </c>
      <c r="H51" s="854"/>
      <c r="I51" s="854"/>
      <c r="J51" s="594">
        <f>'Budget &amp; Costs'!G240</f>
        <v>0</v>
      </c>
      <c r="L51" s="76" t="s">
        <v>1604</v>
      </c>
      <c r="M51" s="596">
        <f>LIHTCs!C54</f>
        <v>0</v>
      </c>
    </row>
    <row r="52" spans="2:13" x14ac:dyDescent="0.25">
      <c r="B52" s="853" t="str">
        <f>IF('Budget &amp; Costs'!E212="","",'Budget &amp; Costs'!E212)</f>
        <v/>
      </c>
      <c r="C52" s="854"/>
      <c r="D52" s="854"/>
      <c r="E52" s="594" t="str">
        <f>IF('Budget &amp; Costs'!G212=0,"",'Budget &amp; Costs'!G212)</f>
        <v/>
      </c>
      <c r="G52" s="853" t="s">
        <v>353</v>
      </c>
      <c r="H52" s="854"/>
      <c r="I52" s="854"/>
      <c r="J52" s="594">
        <f>'Budget &amp; Costs'!G241</f>
        <v>0</v>
      </c>
    </row>
    <row r="53" spans="2:13" x14ac:dyDescent="0.25">
      <c r="B53" s="853" t="str">
        <f>IF('Budget &amp; Costs'!E213="","",'Budget &amp; Costs'!E213)</f>
        <v/>
      </c>
      <c r="C53" s="854"/>
      <c r="D53" s="854"/>
      <c r="E53" s="594" t="str">
        <f>IF('Budget &amp; Costs'!G213=0,"",'Budget &amp; Costs'!G213)</f>
        <v/>
      </c>
      <c r="G53" s="853" t="str">
        <f>IF('Budget &amp; Costs'!E242="","",'Budget &amp; Costs'!E242)</f>
        <v/>
      </c>
      <c r="H53" s="854"/>
      <c r="I53" s="854"/>
      <c r="J53" s="594" t="str">
        <f>IF('Budget &amp; Costs'!G242=0,"",'Budget &amp; Costs'!G242)</f>
        <v/>
      </c>
      <c r="L53" s="719" t="s">
        <v>818</v>
      </c>
      <c r="M53" s="721"/>
    </row>
    <row r="54" spans="2:13" x14ac:dyDescent="0.25">
      <c r="B54" s="853" t="str">
        <f>IF('Budget &amp; Costs'!E214="","",'Budget &amp; Costs'!E214)</f>
        <v/>
      </c>
      <c r="C54" s="854"/>
      <c r="D54" s="854"/>
      <c r="E54" s="594" t="str">
        <f>IF('Budget &amp; Costs'!G214=0,"",'Budget &amp; Costs'!G214)</f>
        <v/>
      </c>
      <c r="G54" s="853" t="str">
        <f>IF('Budget &amp; Costs'!E243="","",'Budget &amp; Costs'!E243)</f>
        <v/>
      </c>
      <c r="H54" s="854"/>
      <c r="I54" s="854"/>
      <c r="J54" s="594" t="str">
        <f>IF('Budget &amp; Costs'!G243=0,"",'Budget &amp; Costs'!G243)</f>
        <v/>
      </c>
      <c r="L54" s="76" t="s">
        <v>357</v>
      </c>
      <c r="M54" s="596">
        <f>SUM('Budget &amp; Costs'!L251:L255)</f>
        <v>0</v>
      </c>
    </row>
    <row r="55" spans="2:13" x14ac:dyDescent="0.25">
      <c r="B55" s="853" t="str">
        <f>IF('Budget &amp; Costs'!E215="","",'Budget &amp; Costs'!E215)</f>
        <v/>
      </c>
      <c r="C55" s="854"/>
      <c r="D55" s="854"/>
      <c r="E55" s="594" t="str">
        <f>IF('Budget &amp; Costs'!G215=0,"",'Budget &amp; Costs'!G215)</f>
        <v/>
      </c>
      <c r="G55" s="853" t="str">
        <f>IF('Budget &amp; Costs'!E244="","",'Budget &amp; Costs'!E244)</f>
        <v/>
      </c>
      <c r="H55" s="854"/>
      <c r="I55" s="854"/>
      <c r="J55" s="594" t="str">
        <f>IF('Budget &amp; Costs'!G244=0,"",'Budget &amp; Costs'!G244)</f>
        <v/>
      </c>
      <c r="L55" s="76" t="s">
        <v>820</v>
      </c>
      <c r="M55" s="596">
        <f>SUM('Budget &amp; Costs'!L257:L265)</f>
        <v>0</v>
      </c>
    </row>
    <row r="56" spans="2:13" x14ac:dyDescent="0.25">
      <c r="B56" s="853" t="str">
        <f>IF('Budget &amp; Costs'!E216="","",'Budget &amp; Costs'!E216)</f>
        <v/>
      </c>
      <c r="C56" s="854"/>
      <c r="D56" s="854"/>
      <c r="E56" s="594" t="str">
        <f>IF('Budget &amp; Costs'!G216=0,"",'Budget &amp; Costs'!G216)</f>
        <v/>
      </c>
      <c r="G56" s="853" t="str">
        <f>IF('Budget &amp; Costs'!E245="","",'Budget &amp; Costs'!E245)</f>
        <v/>
      </c>
      <c r="H56" s="854"/>
      <c r="I56" s="854"/>
      <c r="J56" s="594" t="str">
        <f>IF('Budget &amp; Costs'!G245=0,"",'Budget &amp; Costs'!G245)</f>
        <v/>
      </c>
      <c r="L56" s="76" t="s">
        <v>821</v>
      </c>
      <c r="M56" s="596">
        <f>SUM('Budget &amp; Costs'!L267:L272)</f>
        <v>0</v>
      </c>
    </row>
    <row r="57" spans="2:13" x14ac:dyDescent="0.25">
      <c r="B57" s="751" t="s">
        <v>151</v>
      </c>
      <c r="C57" s="752"/>
      <c r="D57" s="752"/>
      <c r="E57" s="595">
        <f>'Budget &amp; Costs'!G217</f>
        <v>0</v>
      </c>
      <c r="G57" s="853" t="str">
        <f>IF('Budget &amp; Costs'!E246="","",'Budget &amp; Costs'!E246)</f>
        <v/>
      </c>
      <c r="H57" s="854"/>
      <c r="I57" s="854"/>
      <c r="J57" s="594" t="str">
        <f>IF('Budget &amp; Costs'!G246=0,"",'Budget &amp; Costs'!G246)</f>
        <v/>
      </c>
      <c r="L57" s="76" t="s">
        <v>400</v>
      </c>
      <c r="M57" s="596">
        <f>SUM('Budget &amp; Costs'!L274:L287)</f>
        <v>0</v>
      </c>
    </row>
    <row r="58" spans="2:13" x14ac:dyDescent="0.25">
      <c r="G58" s="751" t="s">
        <v>151</v>
      </c>
      <c r="H58" s="752"/>
      <c r="I58" s="752"/>
      <c r="J58" s="595">
        <f>'Budget &amp; Costs'!G247</f>
        <v>0</v>
      </c>
      <c r="L58" s="76" t="s">
        <v>823</v>
      </c>
      <c r="M58" s="596">
        <f>SUM('Budget &amp; Costs'!L289:L298)</f>
        <v>0</v>
      </c>
    </row>
    <row r="59" spans="2:13" x14ac:dyDescent="0.25">
      <c r="B59" s="719" t="s">
        <v>813</v>
      </c>
      <c r="C59" s="720"/>
      <c r="D59" s="720"/>
      <c r="E59" s="721"/>
      <c r="L59" s="76" t="s">
        <v>401</v>
      </c>
      <c r="M59" s="596">
        <f>SUM('Budget &amp; Costs'!L300:L311)</f>
        <v>0</v>
      </c>
    </row>
    <row r="60" spans="2:13" x14ac:dyDescent="0.25">
      <c r="B60" s="855" t="s">
        <v>824</v>
      </c>
      <c r="C60" s="856"/>
      <c r="D60" s="856"/>
      <c r="E60" s="606" t="str">
        <f>IF('Project Details'!G29="","N/A",'Project Details'!G29)</f>
        <v>N/A</v>
      </c>
      <c r="G60" s="857"/>
      <c r="H60" s="857"/>
      <c r="I60" s="571"/>
      <c r="L60" s="76" t="s">
        <v>822</v>
      </c>
      <c r="M60" s="596">
        <f>SUM('Budget &amp; Costs'!L313:L317)</f>
        <v>0</v>
      </c>
    </row>
    <row r="61" spans="2:13" x14ac:dyDescent="0.25">
      <c r="B61" s="855" t="s">
        <v>825</v>
      </c>
      <c r="C61" s="856"/>
      <c r="D61" s="856"/>
      <c r="E61" s="606" t="str">
        <f>IF('Project Details'!G30="","N/A",'Project Details'!G30)</f>
        <v>N/A</v>
      </c>
      <c r="L61" s="76" t="s">
        <v>403</v>
      </c>
      <c r="M61" s="596">
        <f>SUM('Budget &amp; Costs'!L319:L322)</f>
        <v>0</v>
      </c>
    </row>
    <row r="62" spans="2:13" x14ac:dyDescent="0.25">
      <c r="L62" s="61" t="s">
        <v>625</v>
      </c>
      <c r="M62" s="597">
        <f>'Budget &amp; Costs'!L324</f>
        <v>0</v>
      </c>
    </row>
  </sheetData>
  <sheetProtection algorithmName="SHA-512" hashValue="qkzzZ/RbLVddGidYto9QQ1I4IF8uboQ5cd1Rg1YDK5J+c1HyAJwgI/uX/waFz3Q6Pvk4XJ3tSLU5xNaMsEwccQ==" saltValue="d7zd8hsfeDrCE7iTlRzdVQ==" spinCount="100000" sheet="1" objects="1" scenarios="1"/>
  <mergeCells count="35">
    <mergeCell ref="L53:M53"/>
    <mergeCell ref="L47:M47"/>
    <mergeCell ref="B7:E7"/>
    <mergeCell ref="B6:E6"/>
    <mergeCell ref="G7:M7"/>
    <mergeCell ref="G6:M6"/>
    <mergeCell ref="B47:E47"/>
    <mergeCell ref="K9:M9"/>
    <mergeCell ref="G9:I9"/>
    <mergeCell ref="G47:J47"/>
    <mergeCell ref="B48:D48"/>
    <mergeCell ref="B49:D49"/>
    <mergeCell ref="B50:D50"/>
    <mergeCell ref="G48:I48"/>
    <mergeCell ref="B51:D51"/>
    <mergeCell ref="G49:I49"/>
    <mergeCell ref="B61:D61"/>
    <mergeCell ref="G52:I52"/>
    <mergeCell ref="B52:D52"/>
    <mergeCell ref="B53:D53"/>
    <mergeCell ref="B54:D54"/>
    <mergeCell ref="B55:D55"/>
    <mergeCell ref="G53:I53"/>
    <mergeCell ref="G54:I54"/>
    <mergeCell ref="G60:H60"/>
    <mergeCell ref="B59:E59"/>
    <mergeCell ref="G57:I57"/>
    <mergeCell ref="G58:I58"/>
    <mergeCell ref="B56:D56"/>
    <mergeCell ref="B57:D57"/>
    <mergeCell ref="G50:I50"/>
    <mergeCell ref="G51:I51"/>
    <mergeCell ref="G55:I55"/>
    <mergeCell ref="G56:I56"/>
    <mergeCell ref="B60:D60"/>
  </mergeCells>
  <conditionalFormatting sqref="E48:G49 N64:O67 K64:K67 A48:B48 A49:A65 F50:F65 J48:O48 K49:O63 A1:O47">
    <cfRule type="expression" dxfId="63" priority="1">
      <formula>CELL("protect",XEQ1048513)=0</formula>
    </cfRule>
  </conditionalFormatting>
  <conditionalFormatting sqref="G49:G58 J49:J58 G59:J63">
    <cfRule type="expression" dxfId="62" priority="271">
      <formula>CELL("protect",XEW1048562)=0</formula>
    </cfRule>
  </conditionalFormatting>
  <conditionalFormatting sqref="B58:E59 B49:B57 E49:E57 B62:E64 B60:B61 E60:E61">
    <cfRule type="expression" dxfId="61" priority="275">
      <formula>CELL("protect",XER1048562)=0</formula>
    </cfRule>
  </conditionalFormatting>
  <conditionalFormatting sqref="L64:M64">
    <cfRule type="expression" dxfId="60" priority="279">
      <formula>CELL("protect",XFB3)=0</formula>
    </cfRule>
  </conditionalFormatting>
  <pageMargins left="0.25" right="0.25" top="0.75" bottom="0.75" header="0.3" footer="0.3"/>
  <pageSetup scale="4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M31"/>
  <sheetViews>
    <sheetView zoomScale="85" zoomScaleNormal="85" workbookViewId="0">
      <selection activeCell="H27" sqref="H27"/>
    </sheetView>
  </sheetViews>
  <sheetFormatPr defaultColWidth="9" defaultRowHeight="13.8" x14ac:dyDescent="0.25"/>
  <cols>
    <col min="1" max="1" width="3.69921875" style="5" customWidth="1"/>
    <col min="2" max="2" width="3.59765625" style="5" bestFit="1" customWidth="1"/>
    <col min="3" max="3" width="29.59765625" style="5" customWidth="1"/>
    <col min="4" max="4" width="20" style="5" customWidth="1"/>
    <col min="5" max="5" width="20.8984375" style="5" customWidth="1"/>
    <col min="6" max="7" width="9" style="5"/>
    <col min="8" max="8" width="14.69921875" style="5" customWidth="1"/>
    <col min="9" max="13" width="9" style="5"/>
    <col min="14" max="16384" width="9" style="138"/>
  </cols>
  <sheetData>
    <row r="1" spans="1:13" ht="54.9" customHeight="1" x14ac:dyDescent="0.25"/>
    <row r="2" spans="1:13" s="139" customFormat="1" ht="23.4" x14ac:dyDescent="0.4">
      <c r="A2" s="3" t="s">
        <v>1426</v>
      </c>
      <c r="B2" s="188"/>
      <c r="C2" s="1"/>
      <c r="D2" s="1"/>
      <c r="E2" s="1"/>
      <c r="F2" s="1"/>
      <c r="G2" s="1"/>
      <c r="H2" s="1"/>
      <c r="I2" s="1"/>
      <c r="J2" s="1"/>
      <c r="K2" s="1"/>
      <c r="L2" s="1"/>
      <c r="M2" s="1"/>
    </row>
    <row r="3" spans="1:13" s="140" customFormat="1" ht="15" x14ac:dyDescent="0.25">
      <c r="A3" s="4" t="s">
        <v>1108</v>
      </c>
      <c r="B3" s="189"/>
      <c r="C3" s="35">
        <f>'Project Details'!C7</f>
        <v>0</v>
      </c>
      <c r="D3" s="35"/>
      <c r="E3" s="2"/>
      <c r="F3" s="2"/>
      <c r="G3" s="2"/>
      <c r="H3" s="2"/>
      <c r="I3" s="2"/>
      <c r="J3" s="2"/>
      <c r="K3" s="2"/>
      <c r="L3" s="2"/>
      <c r="M3" s="2"/>
    </row>
    <row r="5" spans="1:13" s="143" customFormat="1" ht="24.9" customHeight="1" x14ac:dyDescent="0.25">
      <c r="A5" s="465" t="s">
        <v>610</v>
      </c>
      <c r="B5" s="134"/>
      <c r="C5" s="134"/>
      <c r="D5" s="862" t="s">
        <v>615</v>
      </c>
      <c r="E5" s="862"/>
      <c r="F5" s="134"/>
      <c r="G5" s="134"/>
      <c r="H5" s="134"/>
      <c r="I5" s="134"/>
      <c r="J5" s="134"/>
      <c r="K5" s="134"/>
      <c r="L5" s="134"/>
      <c r="M5" s="134"/>
    </row>
    <row r="6" spans="1:13" ht="57.75" customHeight="1" x14ac:dyDescent="0.25">
      <c r="A6" s="726" t="s">
        <v>1425</v>
      </c>
      <c r="B6" s="726"/>
      <c r="C6" s="726"/>
      <c r="D6" s="726"/>
      <c r="E6" s="726"/>
      <c r="F6" s="726"/>
      <c r="G6" s="726"/>
      <c r="H6" s="726"/>
      <c r="I6" s="726"/>
      <c r="J6" s="726"/>
      <c r="K6" s="726"/>
      <c r="L6" s="726"/>
      <c r="M6" s="726"/>
    </row>
    <row r="7" spans="1:13" x14ac:dyDescent="0.25">
      <c r="A7" s="44"/>
      <c r="B7" s="44"/>
      <c r="C7" s="44"/>
      <c r="D7" s="44"/>
      <c r="E7" s="44"/>
      <c r="F7" s="44"/>
      <c r="G7" s="44"/>
      <c r="H7" s="44"/>
      <c r="I7" s="44"/>
      <c r="J7" s="44"/>
      <c r="K7" s="44"/>
      <c r="L7" s="44"/>
      <c r="M7" s="44"/>
    </row>
    <row r="8" spans="1:13" x14ac:dyDescent="0.25">
      <c r="C8" s="5" t="s">
        <v>611</v>
      </c>
      <c r="D8" s="115"/>
      <c r="E8" s="581" t="s">
        <v>1596</v>
      </c>
    </row>
    <row r="9" spans="1:13" x14ac:dyDescent="0.25">
      <c r="C9" s="5" t="s">
        <v>612</v>
      </c>
      <c r="D9" s="110"/>
    </row>
    <row r="10" spans="1:13" x14ac:dyDescent="0.25">
      <c r="C10" s="5" t="s">
        <v>613</v>
      </c>
      <c r="D10" s="212"/>
    </row>
    <row r="11" spans="1:13" x14ac:dyDescent="0.25">
      <c r="C11" s="5" t="s">
        <v>614</v>
      </c>
      <c r="D11" s="115"/>
    </row>
    <row r="12" spans="1:13" x14ac:dyDescent="0.25">
      <c r="C12" s="5" t="s">
        <v>1433</v>
      </c>
      <c r="D12" s="115"/>
    </row>
    <row r="13" spans="1:13" ht="30" customHeight="1" x14ac:dyDescent="0.25"/>
    <row r="14" spans="1:13" s="143" customFormat="1" ht="24.9" customHeight="1" x14ac:dyDescent="0.25">
      <c r="A14" s="864" t="s">
        <v>4900</v>
      </c>
      <c r="B14" s="864"/>
      <c r="C14" s="864"/>
      <c r="D14" s="864"/>
      <c r="E14" s="862"/>
      <c r="F14" s="862"/>
      <c r="G14" s="476"/>
      <c r="H14" s="476"/>
      <c r="I14" s="476"/>
      <c r="J14" s="134"/>
      <c r="K14" s="134"/>
      <c r="L14" s="134"/>
      <c r="M14" s="134"/>
    </row>
    <row r="15" spans="1:13" x14ac:dyDescent="0.25">
      <c r="A15" s="773" t="s">
        <v>1022</v>
      </c>
      <c r="B15" s="773"/>
      <c r="C15" s="773"/>
      <c r="D15" s="773"/>
      <c r="E15" s="773"/>
      <c r="F15" s="773"/>
      <c r="G15" s="773"/>
      <c r="H15" s="773"/>
      <c r="I15" s="773"/>
      <c r="J15" s="773"/>
      <c r="K15" s="773"/>
      <c r="L15" s="773"/>
      <c r="M15" s="773"/>
    </row>
    <row r="16" spans="1:13" ht="14.25" customHeight="1" x14ac:dyDescent="0.25">
      <c r="B16" s="799" t="s">
        <v>607</v>
      </c>
      <c r="C16" s="865" t="s">
        <v>602</v>
      </c>
      <c r="D16" s="866"/>
      <c r="E16" s="111"/>
    </row>
    <row r="17" spans="1:13" x14ac:dyDescent="0.25">
      <c r="A17" s="190"/>
      <c r="B17" s="800"/>
      <c r="C17" s="867" t="s">
        <v>4901</v>
      </c>
      <c r="D17" s="868"/>
      <c r="E17" s="111"/>
      <c r="F17" s="8" t="s">
        <v>1219</v>
      </c>
    </row>
    <row r="18" spans="1:13" x14ac:dyDescent="0.25">
      <c r="A18" s="190"/>
      <c r="B18" s="800"/>
      <c r="C18" s="867" t="s">
        <v>1216</v>
      </c>
      <c r="D18" s="868"/>
      <c r="E18" s="111"/>
    </row>
    <row r="19" spans="1:13" x14ac:dyDescent="0.25">
      <c r="A19" s="190"/>
      <c r="B19" s="800"/>
      <c r="C19" s="867" t="s">
        <v>1217</v>
      </c>
      <c r="D19" s="868"/>
      <c r="E19" s="111"/>
    </row>
    <row r="20" spans="1:13" ht="41.25" customHeight="1" x14ac:dyDescent="0.25">
      <c r="A20" s="190"/>
      <c r="B20" s="800"/>
      <c r="C20" s="869" t="s">
        <v>606</v>
      </c>
      <c r="D20" s="870"/>
      <c r="E20" s="111"/>
      <c r="F20" s="863" t="s">
        <v>1218</v>
      </c>
      <c r="G20" s="726"/>
      <c r="H20" s="726"/>
      <c r="I20" s="726"/>
      <c r="J20" s="726"/>
      <c r="K20" s="726"/>
      <c r="L20" s="726"/>
      <c r="M20" s="726"/>
    </row>
    <row r="21" spans="1:13" x14ac:dyDescent="0.25">
      <c r="A21" s="190"/>
      <c r="B21" s="800"/>
      <c r="C21" s="871" t="s">
        <v>603</v>
      </c>
      <c r="D21" s="872"/>
      <c r="E21" s="9" t="str">
        <f>IF((OR(AND(E17="Yes",E18="Yes"),AND(E19="Yes",E17="No"),AND(E17="No",E20="Yes"))),"Yes","No")</f>
        <v>No</v>
      </c>
      <c r="F21" s="8" t="s">
        <v>604</v>
      </c>
    </row>
    <row r="22" spans="1:13" x14ac:dyDescent="0.25">
      <c r="A22" s="190"/>
      <c r="B22" s="801"/>
      <c r="C22" s="873" t="s">
        <v>605</v>
      </c>
      <c r="D22" s="874"/>
      <c r="E22" s="111"/>
    </row>
    <row r="24" spans="1:13" x14ac:dyDescent="0.25">
      <c r="C24" s="5" t="s">
        <v>608</v>
      </c>
      <c r="E24" s="111"/>
      <c r="F24" s="8" t="str">
        <f>IF(E24="Yes","If yes, include evidence of Acquisition/Relocation Documentation","")</f>
        <v/>
      </c>
    </row>
    <row r="25" spans="1:13" x14ac:dyDescent="0.25">
      <c r="C25" s="5" t="s">
        <v>609</v>
      </c>
      <c r="E25" s="111"/>
    </row>
    <row r="27" spans="1:13" x14ac:dyDescent="0.25">
      <c r="C27" s="5" t="s">
        <v>4902</v>
      </c>
      <c r="E27" s="137"/>
    </row>
    <row r="28" spans="1:13" ht="26.25" customHeight="1" x14ac:dyDescent="0.25"/>
    <row r="29" spans="1:13" s="143" customFormat="1" ht="24.9" customHeight="1" x14ac:dyDescent="0.25">
      <c r="A29" s="465" t="s">
        <v>805</v>
      </c>
      <c r="B29" s="465"/>
      <c r="C29" s="134"/>
      <c r="D29" s="862" t="s">
        <v>705</v>
      </c>
      <c r="E29" s="862"/>
      <c r="F29" s="862"/>
      <c r="G29" s="134"/>
      <c r="H29" s="134"/>
      <c r="I29" s="134"/>
      <c r="J29" s="134"/>
      <c r="K29" s="134"/>
      <c r="L29" s="134"/>
      <c r="M29" s="134"/>
    </row>
    <row r="30" spans="1:13" ht="51.75" customHeight="1" x14ac:dyDescent="0.25">
      <c r="A30" s="773" t="s">
        <v>1250</v>
      </c>
      <c r="B30" s="773"/>
      <c r="C30" s="773"/>
      <c r="D30" s="773"/>
      <c r="E30" s="773"/>
      <c r="F30" s="773"/>
      <c r="G30" s="773"/>
      <c r="H30" s="773"/>
      <c r="I30" s="773"/>
      <c r="J30" s="773"/>
      <c r="K30" s="773"/>
      <c r="L30" s="773"/>
      <c r="M30" s="773"/>
    </row>
    <row r="31" spans="1:13" x14ac:dyDescent="0.25">
      <c r="C31" s="5" t="s">
        <v>706</v>
      </c>
      <c r="D31" s="115"/>
    </row>
  </sheetData>
  <sheetProtection algorithmName="SHA-512" hashValue="qNnR0Fs9O40ofKpUgB93cKN68m3ZQIM9ohUTVKAFEiTAVfi2TehBc8tbt3ZUkvjsrnuCv1xxusOJ5Ilb1wXPuw==" saltValue="MxNcHBkXc9jI+LFoXDGOQg==" spinCount="100000" sheet="1" objects="1" scenarios="1"/>
  <mergeCells count="16">
    <mergeCell ref="D29:F29"/>
    <mergeCell ref="A30:M30"/>
    <mergeCell ref="A6:M6"/>
    <mergeCell ref="D5:E5"/>
    <mergeCell ref="E14:F14"/>
    <mergeCell ref="B16:B22"/>
    <mergeCell ref="A15:M15"/>
    <mergeCell ref="F20:M20"/>
    <mergeCell ref="A14:D14"/>
    <mergeCell ref="C16:D16"/>
    <mergeCell ref="C17:D17"/>
    <mergeCell ref="C18:D18"/>
    <mergeCell ref="C19:D19"/>
    <mergeCell ref="C20:D20"/>
    <mergeCell ref="C21:D21"/>
    <mergeCell ref="C22:D22"/>
  </mergeCells>
  <dataValidations count="1">
    <dataValidation type="list" allowBlank="1" showInputMessage="1" showErrorMessage="1" sqref="E27 E22 E16:E20 E24:E25" xr:uid="{00000000-0002-0000-0C00-000000000000}">
      <formula1>"Yes,No"</formula1>
    </dataValidation>
  </dataValidations>
  <hyperlinks>
    <hyperlink ref="D5:E5" r:id="rId1" display="Click Here to Read HDL Guidelines" xr:uid="{00000000-0004-0000-0C00-000000000000}"/>
    <hyperlink ref="E8" r:id="rId2" xr:uid="{00000000-0004-0000-0C00-000003000000}"/>
  </hyperlinks>
  <pageMargins left="0.7" right="0.7" top="0.75" bottom="0.75" header="0.3" footer="0.3"/>
  <pageSetup scale="52" orientation="portrait"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L77"/>
  <sheetViews>
    <sheetView topLeftCell="A8" zoomScale="85" zoomScaleNormal="85" workbookViewId="0">
      <selection activeCell="D6" sqref="D6"/>
    </sheetView>
  </sheetViews>
  <sheetFormatPr defaultColWidth="9" defaultRowHeight="13.8" x14ac:dyDescent="0.25"/>
  <cols>
    <col min="1" max="1" width="4.59765625" style="5" customWidth="1"/>
    <col min="2" max="2" width="3.5" style="5" customWidth="1"/>
    <col min="3" max="3" width="30" style="5" customWidth="1"/>
    <col min="4" max="4" width="23.5" style="5" bestFit="1" customWidth="1"/>
    <col min="5" max="5" width="14.59765625" style="5" customWidth="1"/>
    <col min="6" max="7" width="14.19921875" style="5" bestFit="1" customWidth="1"/>
    <col min="8" max="8" width="25.59765625" style="5" customWidth="1"/>
    <col min="9" max="9" width="19.19921875" style="5" customWidth="1"/>
    <col min="10" max="10" width="9" style="5"/>
    <col min="11" max="11" width="23.69921875" style="5" customWidth="1"/>
    <col min="12" max="12" width="9" style="5"/>
    <col min="13" max="16384" width="9" style="138"/>
  </cols>
  <sheetData>
    <row r="1" spans="1:12" ht="54.9" customHeight="1" x14ac:dyDescent="0.25"/>
    <row r="2" spans="1:12" s="139" customFormat="1" ht="23.4" x14ac:dyDescent="0.4">
      <c r="A2" s="3" t="s">
        <v>2</v>
      </c>
      <c r="B2" s="1"/>
      <c r="C2" s="1"/>
      <c r="D2" s="1"/>
      <c r="E2" s="1"/>
      <c r="F2" s="1"/>
      <c r="G2" s="1"/>
      <c r="H2" s="1"/>
      <c r="I2" s="1"/>
      <c r="J2" s="1"/>
      <c r="K2" s="1"/>
      <c r="L2" s="1"/>
    </row>
    <row r="3" spans="1:12" s="140" customFormat="1" ht="15" x14ac:dyDescent="0.25">
      <c r="A3" s="4" t="s">
        <v>1108</v>
      </c>
      <c r="B3" s="2"/>
      <c r="C3" s="35">
        <f>'Project Details'!C7</f>
        <v>0</v>
      </c>
      <c r="D3" s="35"/>
      <c r="E3" s="2"/>
      <c r="F3" s="2"/>
      <c r="G3" s="2"/>
      <c r="H3" s="2"/>
      <c r="I3" s="2"/>
      <c r="J3" s="2"/>
      <c r="K3" s="2"/>
      <c r="L3" s="2"/>
    </row>
    <row r="5" spans="1:12" s="143" customFormat="1" ht="24.9" customHeight="1" x14ac:dyDescent="0.25">
      <c r="A5" s="465" t="s">
        <v>760</v>
      </c>
      <c r="B5" s="134"/>
      <c r="C5" s="134"/>
      <c r="D5" s="134"/>
      <c r="E5" s="134"/>
      <c r="F5" s="134"/>
      <c r="G5" s="134"/>
      <c r="H5" s="134"/>
      <c r="I5" s="134"/>
      <c r="J5" s="134"/>
      <c r="K5" s="134"/>
      <c r="L5" s="134"/>
    </row>
    <row r="6" spans="1:12" s="143" customFormat="1" ht="13.95" customHeight="1" x14ac:dyDescent="0.25">
      <c r="A6" s="465"/>
      <c r="B6" s="134"/>
      <c r="C6" s="134" t="s">
        <v>1607</v>
      </c>
      <c r="D6" s="602"/>
      <c r="E6" s="134"/>
      <c r="F6" s="134"/>
      <c r="G6" s="134"/>
      <c r="H6" s="134"/>
      <c r="I6" s="134"/>
      <c r="J6" s="134"/>
      <c r="K6" s="134"/>
      <c r="L6" s="134"/>
    </row>
    <row r="7" spans="1:12" x14ac:dyDescent="0.25">
      <c r="C7" s="48" t="s">
        <v>737</v>
      </c>
      <c r="D7" s="591" t="s">
        <v>1605</v>
      </c>
    </row>
    <row r="8" spans="1:12" x14ac:dyDescent="0.25">
      <c r="C8" s="48" t="s">
        <v>738</v>
      </c>
      <c r="D8" s="591" t="s">
        <v>1606</v>
      </c>
    </row>
    <row r="9" spans="1:12" x14ac:dyDescent="0.25">
      <c r="C9" s="48" t="s">
        <v>1645</v>
      </c>
      <c r="D9" s="600" t="s">
        <v>24</v>
      </c>
    </row>
    <row r="10" spans="1:12" x14ac:dyDescent="0.25">
      <c r="C10" s="48" t="s">
        <v>566</v>
      </c>
      <c r="D10" s="386">
        <f>LIHTCs!C27</f>
        <v>0</v>
      </c>
    </row>
    <row r="11" spans="1:12" x14ac:dyDescent="0.25">
      <c r="C11" s="48" t="s">
        <v>1194</v>
      </c>
      <c r="D11" s="875">
        <f>LIHTCs!C69</f>
        <v>0</v>
      </c>
      <c r="E11" s="876"/>
      <c r="F11" s="876"/>
      <c r="G11" s="877"/>
      <c r="H11"/>
    </row>
    <row r="13" spans="1:12" s="142" customFormat="1" ht="41.4" x14ac:dyDescent="0.25">
      <c r="A13" s="20"/>
      <c r="B13" s="20"/>
      <c r="C13" s="20"/>
      <c r="D13" s="52" t="s">
        <v>348</v>
      </c>
      <c r="E13" s="52" t="s">
        <v>739</v>
      </c>
      <c r="F13" s="52" t="s">
        <v>350</v>
      </c>
      <c r="G13" s="52" t="s">
        <v>740</v>
      </c>
      <c r="H13" s="20"/>
      <c r="I13" s="20"/>
      <c r="J13" s="20"/>
      <c r="K13" s="20"/>
      <c r="L13" s="20"/>
    </row>
    <row r="14" spans="1:12" x14ac:dyDescent="0.25">
      <c r="C14" s="10" t="s">
        <v>741</v>
      </c>
      <c r="D14" s="601"/>
      <c r="E14" s="9">
        <f>IFERROR(D14/(SUM('Budget &amp; Costs'!F324:H324)+'Budget &amp; Costs'!L251),0)</f>
        <v>0</v>
      </c>
      <c r="F14" s="191"/>
      <c r="G14" s="118"/>
    </row>
    <row r="15" spans="1:12" x14ac:dyDescent="0.25">
      <c r="C15" s="10" t="s">
        <v>742</v>
      </c>
      <c r="D15" s="146"/>
      <c r="E15" s="9">
        <f>IFERROR(D15/(SUM('Budget &amp; Costs'!F324:H324)+'Budget &amp; Costs'!L251),0)</f>
        <v>0</v>
      </c>
      <c r="F15" s="191"/>
      <c r="G15" s="118"/>
    </row>
    <row r="16" spans="1:12" x14ac:dyDescent="0.25">
      <c r="C16" s="10" t="s">
        <v>743</v>
      </c>
      <c r="D16" s="146"/>
      <c r="E16" s="9">
        <f>IFERROR(D16/(SUM('Budget &amp; Costs'!F324:H324)+'Budget &amp; Costs'!L251),0)</f>
        <v>0</v>
      </c>
      <c r="F16" s="191"/>
      <c r="G16" s="118"/>
    </row>
    <row r="17" spans="1:12" x14ac:dyDescent="0.25">
      <c r="C17" s="10" t="s">
        <v>131</v>
      </c>
      <c r="D17" s="146"/>
      <c r="E17" s="9">
        <f>IFERROR(D17/(SUM('Budget &amp; Costs'!F324:H324)+'Budget &amp; Costs'!L251),0)</f>
        <v>0</v>
      </c>
      <c r="F17" s="191"/>
      <c r="G17" s="118"/>
    </row>
    <row r="19" spans="1:12" x14ac:dyDescent="0.25">
      <c r="C19" s="5" t="s">
        <v>744</v>
      </c>
      <c r="D19" s="146"/>
      <c r="J19" s="138"/>
      <c r="K19" s="138"/>
      <c r="L19" s="138"/>
    </row>
    <row r="20" spans="1:12" x14ac:dyDescent="0.25">
      <c r="C20" s="48" t="s">
        <v>745</v>
      </c>
      <c r="D20" s="146"/>
    </row>
    <row r="22" spans="1:12" x14ac:dyDescent="0.25">
      <c r="C22" s="5" t="s">
        <v>757</v>
      </c>
      <c r="D22" s="111"/>
      <c r="E22" s="34" t="str">
        <f>IF(D22="Other","Describe Type","")</f>
        <v/>
      </c>
      <c r="F22" s="138"/>
    </row>
    <row r="23" spans="1:12" x14ac:dyDescent="0.25">
      <c r="C23" s="5" t="s">
        <v>758</v>
      </c>
      <c r="D23" s="146"/>
    </row>
    <row r="25" spans="1:12" x14ac:dyDescent="0.25">
      <c r="C25" s="742" t="s">
        <v>1427</v>
      </c>
      <c r="D25" s="743"/>
      <c r="E25" s="743"/>
      <c r="F25" s="743"/>
      <c r="G25" s="743"/>
      <c r="H25" s="743"/>
      <c r="I25" s="743"/>
      <c r="J25" s="743"/>
      <c r="K25" s="743"/>
      <c r="L25" s="744"/>
    </row>
    <row r="26" spans="1:12" ht="45" customHeight="1" x14ac:dyDescent="0.25">
      <c r="C26" s="881"/>
      <c r="D26" s="882"/>
      <c r="E26" s="882"/>
      <c r="F26" s="882"/>
      <c r="G26" s="882"/>
      <c r="H26" s="882"/>
      <c r="I26" s="882"/>
      <c r="J26" s="882"/>
      <c r="K26" s="882"/>
      <c r="L26" s="883"/>
    </row>
    <row r="28" spans="1:12" ht="33.75" customHeight="1" x14ac:dyDescent="0.25">
      <c r="C28" s="742" t="s">
        <v>759</v>
      </c>
      <c r="D28" s="743"/>
      <c r="E28" s="743"/>
      <c r="F28" s="743"/>
      <c r="G28" s="743"/>
      <c r="H28" s="743"/>
      <c r="I28" s="743"/>
      <c r="J28" s="743"/>
      <c r="K28" s="743"/>
      <c r="L28" s="744"/>
    </row>
    <row r="29" spans="1:12" ht="45" customHeight="1" x14ac:dyDescent="0.25">
      <c r="C29" s="881"/>
      <c r="D29" s="882"/>
      <c r="E29" s="882"/>
      <c r="F29" s="882"/>
      <c r="G29" s="882"/>
      <c r="H29" s="882"/>
      <c r="I29" s="882"/>
      <c r="J29" s="882"/>
      <c r="K29" s="882"/>
      <c r="L29" s="883"/>
    </row>
    <row r="31" spans="1:12" s="143" customFormat="1" ht="24.9" customHeight="1" x14ac:dyDescent="0.25">
      <c r="A31" s="465" t="s">
        <v>761</v>
      </c>
      <c r="B31" s="134"/>
      <c r="C31" s="134"/>
      <c r="D31" s="134"/>
      <c r="E31" s="134"/>
      <c r="F31" s="134"/>
      <c r="G31" s="134"/>
      <c r="H31" s="134"/>
      <c r="I31" s="134"/>
      <c r="J31" s="134"/>
      <c r="K31" s="134"/>
      <c r="L31" s="134"/>
    </row>
    <row r="32" spans="1:12" x14ac:dyDescent="0.25">
      <c r="D32" s="15" t="s">
        <v>762</v>
      </c>
      <c r="E32" s="15" t="s">
        <v>763</v>
      </c>
      <c r="F32" s="15" t="s">
        <v>764</v>
      </c>
      <c r="G32" s="15" t="s">
        <v>765</v>
      </c>
      <c r="H32" s="12" t="s">
        <v>153</v>
      </c>
    </row>
    <row r="33" spans="2:8" ht="15" customHeight="1" x14ac:dyDescent="0.25">
      <c r="B33" s="878" t="s">
        <v>775</v>
      </c>
      <c r="C33" s="10" t="s">
        <v>766</v>
      </c>
      <c r="D33" s="154"/>
      <c r="E33" s="146"/>
      <c r="F33" s="146"/>
      <c r="G33" s="146"/>
      <c r="H33" s="45">
        <f>SUM(D33:G33)</f>
        <v>0</v>
      </c>
    </row>
    <row r="34" spans="2:8" x14ac:dyDescent="0.25">
      <c r="B34" s="879"/>
      <c r="C34" s="10" t="s">
        <v>767</v>
      </c>
      <c r="D34" s="154"/>
      <c r="E34" s="146"/>
      <c r="F34" s="146"/>
      <c r="G34" s="146"/>
      <c r="H34" s="28">
        <f t="shared" ref="H34:H41" si="0">SUM(D34:G34)</f>
        <v>0</v>
      </c>
    </row>
    <row r="35" spans="2:8" x14ac:dyDescent="0.25">
      <c r="B35" s="879"/>
      <c r="C35" s="10" t="s">
        <v>768</v>
      </c>
      <c r="D35" s="154"/>
      <c r="E35" s="146"/>
      <c r="F35" s="146"/>
      <c r="G35" s="146"/>
      <c r="H35" s="28">
        <f t="shared" si="0"/>
        <v>0</v>
      </c>
    </row>
    <row r="36" spans="2:8" x14ac:dyDescent="0.25">
      <c r="B36" s="879"/>
      <c r="C36" s="10" t="s">
        <v>769</v>
      </c>
      <c r="D36" s="154"/>
      <c r="E36" s="146"/>
      <c r="F36" s="146"/>
      <c r="G36" s="146"/>
      <c r="H36" s="28">
        <f t="shared" si="0"/>
        <v>0</v>
      </c>
    </row>
    <row r="37" spans="2:8" x14ac:dyDescent="0.25">
      <c r="B37" s="879"/>
      <c r="C37" s="10" t="s">
        <v>770</v>
      </c>
      <c r="D37" s="154"/>
      <c r="E37" s="146"/>
      <c r="F37" s="146"/>
      <c r="G37" s="146"/>
      <c r="H37" s="28">
        <f t="shared" si="0"/>
        <v>0</v>
      </c>
    </row>
    <row r="38" spans="2:8" x14ac:dyDescent="0.25">
      <c r="B38" s="879"/>
      <c r="C38" s="10" t="s">
        <v>771</v>
      </c>
      <c r="D38" s="154"/>
      <c r="E38" s="146"/>
      <c r="F38" s="146"/>
      <c r="G38" s="146"/>
      <c r="H38" s="28">
        <f t="shared" si="0"/>
        <v>0</v>
      </c>
    </row>
    <row r="39" spans="2:8" x14ac:dyDescent="0.25">
      <c r="B39" s="879"/>
      <c r="C39" s="10" t="s">
        <v>772</v>
      </c>
      <c r="D39" s="154"/>
      <c r="E39" s="146"/>
      <c r="F39" s="146"/>
      <c r="G39" s="146"/>
      <c r="H39" s="28">
        <f t="shared" si="0"/>
        <v>0</v>
      </c>
    </row>
    <row r="40" spans="2:8" x14ac:dyDescent="0.25">
      <c r="B40" s="879"/>
      <c r="C40" s="10" t="s">
        <v>773</v>
      </c>
      <c r="D40" s="154"/>
      <c r="E40" s="146"/>
      <c r="F40" s="146"/>
      <c r="G40" s="146"/>
      <c r="H40" s="28">
        <f t="shared" si="0"/>
        <v>0</v>
      </c>
    </row>
    <row r="41" spans="2:8" x14ac:dyDescent="0.25">
      <c r="B41" s="879"/>
      <c r="C41" s="10" t="s">
        <v>774</v>
      </c>
      <c r="D41" s="154"/>
      <c r="E41" s="146"/>
      <c r="F41" s="146"/>
      <c r="G41" s="146"/>
      <c r="H41" s="28">
        <f t="shared" si="0"/>
        <v>0</v>
      </c>
    </row>
    <row r="42" spans="2:8" x14ac:dyDescent="0.25">
      <c r="B42" s="880"/>
      <c r="C42" s="10" t="s">
        <v>784</v>
      </c>
      <c r="D42" s="154"/>
      <c r="E42" s="154"/>
      <c r="F42" s="154"/>
      <c r="G42" s="154"/>
      <c r="H42" s="55">
        <f>SUM(H33:H41)</f>
        <v>0</v>
      </c>
    </row>
    <row r="44" spans="2:8" x14ac:dyDescent="0.25">
      <c r="D44" s="15" t="s">
        <v>762</v>
      </c>
      <c r="E44" s="15" t="s">
        <v>763</v>
      </c>
      <c r="F44" s="15" t="s">
        <v>764</v>
      </c>
      <c r="G44" s="15" t="s">
        <v>765</v>
      </c>
      <c r="H44" s="12" t="s">
        <v>153</v>
      </c>
    </row>
    <row r="45" spans="2:8" x14ac:dyDescent="0.25">
      <c r="B45" s="878" t="s">
        <v>776</v>
      </c>
      <c r="C45" s="10" t="s">
        <v>777</v>
      </c>
      <c r="D45" s="154"/>
      <c r="E45" s="146"/>
      <c r="F45" s="146"/>
      <c r="G45" s="146"/>
      <c r="H45" s="28">
        <f>SUM(D45:G45)</f>
        <v>0</v>
      </c>
    </row>
    <row r="46" spans="2:8" x14ac:dyDescent="0.25">
      <c r="B46" s="879"/>
      <c r="C46" s="10" t="s">
        <v>778</v>
      </c>
      <c r="D46" s="154"/>
      <c r="E46" s="146"/>
      <c r="F46" s="146"/>
      <c r="G46" s="146"/>
      <c r="H46" s="28">
        <f t="shared" ref="H46:H54" si="1">SUM(D46:G46)</f>
        <v>0</v>
      </c>
    </row>
    <row r="47" spans="2:8" x14ac:dyDescent="0.25">
      <c r="B47" s="879"/>
      <c r="C47" s="10" t="s">
        <v>779</v>
      </c>
      <c r="D47" s="154"/>
      <c r="E47" s="146"/>
      <c r="F47" s="146"/>
      <c r="G47" s="146"/>
      <c r="H47" s="28">
        <f t="shared" si="1"/>
        <v>0</v>
      </c>
    </row>
    <row r="48" spans="2:8" x14ac:dyDescent="0.25">
      <c r="B48" s="879"/>
      <c r="C48" s="10" t="s">
        <v>780</v>
      </c>
      <c r="D48" s="154"/>
      <c r="E48" s="146"/>
      <c r="F48" s="146"/>
      <c r="G48" s="146"/>
      <c r="H48" s="28">
        <f t="shared" si="1"/>
        <v>0</v>
      </c>
    </row>
    <row r="49" spans="1:12" x14ac:dyDescent="0.25">
      <c r="B49" s="879"/>
      <c r="C49" s="10" t="s">
        <v>781</v>
      </c>
      <c r="D49" s="154"/>
      <c r="E49" s="146"/>
      <c r="F49" s="146"/>
      <c r="G49" s="146"/>
      <c r="H49" s="28">
        <f t="shared" si="1"/>
        <v>0</v>
      </c>
      <c r="I49" s="8" t="s">
        <v>783</v>
      </c>
    </row>
    <row r="50" spans="1:12" x14ac:dyDescent="0.25">
      <c r="B50" s="879"/>
      <c r="C50" s="10" t="s">
        <v>782</v>
      </c>
      <c r="D50" s="154"/>
      <c r="E50" s="146"/>
      <c r="F50" s="146"/>
      <c r="G50" s="146"/>
      <c r="H50" s="28">
        <f t="shared" si="1"/>
        <v>0</v>
      </c>
    </row>
    <row r="51" spans="1:12" x14ac:dyDescent="0.25">
      <c r="B51" s="879"/>
      <c r="C51" s="10" t="s">
        <v>319</v>
      </c>
      <c r="D51" s="154"/>
      <c r="E51" s="146"/>
      <c r="F51" s="146"/>
      <c r="G51" s="146"/>
      <c r="H51" s="28">
        <f t="shared" si="1"/>
        <v>0</v>
      </c>
    </row>
    <row r="52" spans="1:12" x14ac:dyDescent="0.25">
      <c r="B52" s="879"/>
      <c r="C52" s="10" t="s">
        <v>320</v>
      </c>
      <c r="D52" s="154"/>
      <c r="E52" s="146"/>
      <c r="F52" s="146"/>
      <c r="G52" s="146"/>
      <c r="H52" s="28">
        <f t="shared" si="1"/>
        <v>0</v>
      </c>
    </row>
    <row r="53" spans="1:12" x14ac:dyDescent="0.25">
      <c r="B53" s="879"/>
      <c r="C53" s="10" t="s">
        <v>322</v>
      </c>
      <c r="D53" s="154"/>
      <c r="E53" s="146"/>
      <c r="F53" s="146"/>
      <c r="G53" s="146"/>
      <c r="H53" s="28">
        <f t="shared" si="1"/>
        <v>0</v>
      </c>
    </row>
    <row r="54" spans="1:12" x14ac:dyDescent="0.25">
      <c r="B54" s="880"/>
      <c r="C54" s="10" t="s">
        <v>784</v>
      </c>
      <c r="D54" s="154"/>
      <c r="E54" s="154"/>
      <c r="F54" s="154"/>
      <c r="G54" s="154"/>
      <c r="H54" s="28">
        <f t="shared" si="1"/>
        <v>0</v>
      </c>
    </row>
    <row r="56" spans="1:12" s="143" customFormat="1" ht="24.9" customHeight="1" x14ac:dyDescent="0.25">
      <c r="A56" s="465" t="s">
        <v>785</v>
      </c>
      <c r="B56" s="134"/>
      <c r="C56" s="134"/>
      <c r="D56" s="134"/>
      <c r="E56" s="134"/>
      <c r="F56" s="134"/>
      <c r="G56" s="134"/>
      <c r="H56" s="134"/>
      <c r="I56" s="134"/>
      <c r="J56" s="134"/>
      <c r="K56" s="134"/>
      <c r="L56" s="134"/>
    </row>
    <row r="57" spans="1:12" x14ac:dyDescent="0.25">
      <c r="D57" s="15" t="s">
        <v>795</v>
      </c>
      <c r="E57" s="15" t="s">
        <v>762</v>
      </c>
      <c r="F57" s="15" t="s">
        <v>763</v>
      </c>
      <c r="G57" s="15" t="s">
        <v>764</v>
      </c>
      <c r="H57" s="15" t="s">
        <v>765</v>
      </c>
      <c r="I57" s="15" t="s">
        <v>153</v>
      </c>
      <c r="K57" s="138"/>
    </row>
    <row r="58" spans="1:12" x14ac:dyDescent="0.25">
      <c r="C58" s="10" t="s">
        <v>786</v>
      </c>
      <c r="D58" s="17" t="e">
        <f>IF(I58="",0,(E58+F58)/($D$14+$D$15))</f>
        <v>#DIV/0!</v>
      </c>
      <c r="E58" s="146"/>
      <c r="F58" s="146"/>
      <c r="G58" s="146"/>
      <c r="H58" s="146"/>
      <c r="I58" s="28">
        <f>SUM(E58:H58)</f>
        <v>0</v>
      </c>
      <c r="K58" s="138"/>
    </row>
    <row r="59" spans="1:12" x14ac:dyDescent="0.25">
      <c r="C59" s="10" t="s">
        <v>787</v>
      </c>
      <c r="D59" s="17" t="e">
        <f t="shared" ref="D59:D75" si="2">IF(I59="",0,(E59+F59)/($D$14+$D$15))</f>
        <v>#DIV/0!</v>
      </c>
      <c r="E59" s="146"/>
      <c r="F59" s="146"/>
      <c r="G59" s="146"/>
      <c r="H59" s="146"/>
      <c r="I59" s="28">
        <f t="shared" ref="I59:I76" si="3">SUM(E59:H59)</f>
        <v>0</v>
      </c>
      <c r="K59" s="138"/>
    </row>
    <row r="60" spans="1:12" x14ac:dyDescent="0.25">
      <c r="C60" s="10" t="s">
        <v>796</v>
      </c>
      <c r="D60" s="17" t="e">
        <f t="shared" si="2"/>
        <v>#DIV/0!</v>
      </c>
      <c r="E60" s="146"/>
      <c r="F60" s="146"/>
      <c r="G60" s="146"/>
      <c r="H60" s="146"/>
      <c r="I60" s="28">
        <f t="shared" si="3"/>
        <v>0</v>
      </c>
      <c r="K60" s="138"/>
    </row>
    <row r="61" spans="1:12" x14ac:dyDescent="0.25">
      <c r="C61" s="10" t="s">
        <v>792</v>
      </c>
      <c r="D61" s="17" t="e">
        <f t="shared" si="2"/>
        <v>#DIV/0!</v>
      </c>
      <c r="E61" s="146"/>
      <c r="F61" s="146"/>
      <c r="G61" s="146"/>
      <c r="H61" s="146"/>
      <c r="I61" s="28">
        <f t="shared" si="3"/>
        <v>0</v>
      </c>
      <c r="K61" s="138"/>
    </row>
    <row r="62" spans="1:12" x14ac:dyDescent="0.25">
      <c r="C62" s="10" t="s">
        <v>797</v>
      </c>
      <c r="D62" s="17" t="e">
        <f t="shared" si="2"/>
        <v>#DIV/0!</v>
      </c>
      <c r="E62" s="146"/>
      <c r="F62" s="146"/>
      <c r="G62" s="146"/>
      <c r="H62" s="146"/>
      <c r="I62" s="28">
        <f t="shared" si="3"/>
        <v>0</v>
      </c>
      <c r="K62" s="138"/>
    </row>
    <row r="63" spans="1:12" x14ac:dyDescent="0.25">
      <c r="C63" s="10" t="s">
        <v>798</v>
      </c>
      <c r="D63" s="17" t="e">
        <f t="shared" si="2"/>
        <v>#DIV/0!</v>
      </c>
      <c r="E63" s="146"/>
      <c r="F63" s="146"/>
      <c r="G63" s="146"/>
      <c r="H63" s="146"/>
      <c r="I63" s="28">
        <f t="shared" si="3"/>
        <v>0</v>
      </c>
      <c r="K63" s="138"/>
    </row>
    <row r="64" spans="1:12" x14ac:dyDescent="0.25">
      <c r="C64" s="10" t="s">
        <v>799</v>
      </c>
      <c r="D64" s="17" t="e">
        <f t="shared" si="2"/>
        <v>#DIV/0!</v>
      </c>
      <c r="E64" s="146"/>
      <c r="F64" s="146"/>
      <c r="G64" s="146"/>
      <c r="H64" s="146"/>
      <c r="I64" s="28">
        <f t="shared" si="3"/>
        <v>0</v>
      </c>
      <c r="K64" s="138"/>
    </row>
    <row r="65" spans="3:11" x14ac:dyDescent="0.25">
      <c r="C65" s="10" t="s">
        <v>794</v>
      </c>
      <c r="D65" s="17" t="e">
        <f t="shared" si="2"/>
        <v>#DIV/0!</v>
      </c>
      <c r="E65" s="146"/>
      <c r="F65" s="146"/>
      <c r="G65" s="146"/>
      <c r="H65" s="146"/>
      <c r="I65" s="28">
        <f t="shared" si="3"/>
        <v>0</v>
      </c>
      <c r="K65" s="138"/>
    </row>
    <row r="66" spans="3:11" x14ac:dyDescent="0.25">
      <c r="C66" s="10" t="s">
        <v>793</v>
      </c>
      <c r="D66" s="17" t="e">
        <f t="shared" si="2"/>
        <v>#DIV/0!</v>
      </c>
      <c r="E66" s="146"/>
      <c r="F66" s="146"/>
      <c r="G66" s="146"/>
      <c r="H66" s="146"/>
      <c r="I66" s="28">
        <f t="shared" si="3"/>
        <v>0</v>
      </c>
      <c r="K66" s="138"/>
    </row>
    <row r="67" spans="3:11" x14ac:dyDescent="0.25">
      <c r="C67" s="10" t="s">
        <v>800</v>
      </c>
      <c r="D67" s="17" t="e">
        <f t="shared" si="2"/>
        <v>#DIV/0!</v>
      </c>
      <c r="E67" s="146"/>
      <c r="F67" s="146"/>
      <c r="G67" s="146"/>
      <c r="H67" s="146"/>
      <c r="I67" s="28">
        <f t="shared" si="3"/>
        <v>0</v>
      </c>
      <c r="K67" s="138"/>
    </row>
    <row r="68" spans="3:11" x14ac:dyDescent="0.25">
      <c r="C68" s="10" t="s">
        <v>330</v>
      </c>
      <c r="D68" s="17" t="e">
        <f t="shared" si="2"/>
        <v>#DIV/0!</v>
      </c>
      <c r="E68" s="146"/>
      <c r="F68" s="146"/>
      <c r="G68" s="146"/>
      <c r="H68" s="146"/>
      <c r="I68" s="28">
        <f t="shared" si="3"/>
        <v>0</v>
      </c>
      <c r="J68" s="5" t="str">
        <f>IF(I68&gt;0,"Describe","")</f>
        <v/>
      </c>
      <c r="K68" s="138"/>
    </row>
    <row r="69" spans="3:11" x14ac:dyDescent="0.25">
      <c r="C69" s="10" t="s">
        <v>330</v>
      </c>
      <c r="D69" s="17" t="e">
        <f t="shared" si="2"/>
        <v>#DIV/0!</v>
      </c>
      <c r="E69" s="146"/>
      <c r="F69" s="146"/>
      <c r="G69" s="146"/>
      <c r="H69" s="146"/>
      <c r="I69" s="28">
        <f t="shared" si="3"/>
        <v>0</v>
      </c>
      <c r="J69" s="5" t="str">
        <f>IF(I69&gt;0,"Describe","")</f>
        <v/>
      </c>
      <c r="K69" s="138"/>
    </row>
    <row r="70" spans="3:11" x14ac:dyDescent="0.25">
      <c r="C70" s="10" t="s">
        <v>330</v>
      </c>
      <c r="D70" s="17" t="e">
        <f t="shared" si="2"/>
        <v>#DIV/0!</v>
      </c>
      <c r="E70" s="146"/>
      <c r="F70" s="146"/>
      <c r="G70" s="146"/>
      <c r="H70" s="146"/>
      <c r="I70" s="28">
        <f t="shared" si="3"/>
        <v>0</v>
      </c>
      <c r="J70" s="5" t="str">
        <f>IF(I70&gt;0,"Describe","")</f>
        <v/>
      </c>
      <c r="K70" s="138"/>
    </row>
    <row r="71" spans="3:11" x14ac:dyDescent="0.25">
      <c r="C71" s="10" t="s">
        <v>802</v>
      </c>
      <c r="D71" s="17" t="e">
        <f t="shared" si="2"/>
        <v>#DIV/0!</v>
      </c>
      <c r="E71" s="146"/>
      <c r="F71" s="146"/>
      <c r="G71" s="146"/>
      <c r="H71" s="146"/>
      <c r="I71" s="28">
        <f t="shared" si="3"/>
        <v>0</v>
      </c>
      <c r="K71" s="138"/>
    </row>
    <row r="72" spans="3:11" x14ac:dyDescent="0.25">
      <c r="C72" s="10" t="s">
        <v>788</v>
      </c>
      <c r="D72" s="17" t="e">
        <f t="shared" si="2"/>
        <v>#DIV/0!</v>
      </c>
      <c r="E72" s="146"/>
      <c r="F72" s="146"/>
      <c r="G72" s="146"/>
      <c r="H72" s="146"/>
      <c r="I72" s="28">
        <f t="shared" si="3"/>
        <v>0</v>
      </c>
      <c r="K72" s="138"/>
    </row>
    <row r="73" spans="3:11" x14ac:dyDescent="0.25">
      <c r="C73" s="10" t="s">
        <v>789</v>
      </c>
      <c r="D73" s="17" t="e">
        <f t="shared" si="2"/>
        <v>#DIV/0!</v>
      </c>
      <c r="E73" s="146"/>
      <c r="F73" s="146"/>
      <c r="G73" s="146"/>
      <c r="H73" s="146"/>
      <c r="I73" s="28">
        <f t="shared" si="3"/>
        <v>0</v>
      </c>
      <c r="K73" s="138"/>
    </row>
    <row r="74" spans="3:11" x14ac:dyDescent="0.25">
      <c r="C74" s="10" t="s">
        <v>790</v>
      </c>
      <c r="D74" s="17" t="e">
        <f t="shared" si="2"/>
        <v>#DIV/0!</v>
      </c>
      <c r="E74" s="146"/>
      <c r="F74" s="146"/>
      <c r="G74" s="146"/>
      <c r="H74" s="146"/>
      <c r="I74" s="28">
        <f t="shared" si="3"/>
        <v>0</v>
      </c>
      <c r="K74" s="138"/>
    </row>
    <row r="75" spans="3:11" x14ac:dyDescent="0.25">
      <c r="C75" s="10" t="s">
        <v>791</v>
      </c>
      <c r="D75" s="17" t="e">
        <f t="shared" si="2"/>
        <v>#DIV/0!</v>
      </c>
      <c r="E75" s="146"/>
      <c r="F75" s="146"/>
      <c r="G75" s="146"/>
      <c r="H75" s="146"/>
      <c r="I75" s="28">
        <f t="shared" si="3"/>
        <v>0</v>
      </c>
      <c r="K75" s="138"/>
    </row>
    <row r="76" spans="3:11" x14ac:dyDescent="0.25">
      <c r="C76" s="10" t="s">
        <v>801</v>
      </c>
      <c r="D76" s="16"/>
      <c r="E76" s="28">
        <f>SUM(E59:E75)</f>
        <v>0</v>
      </c>
      <c r="F76" s="28">
        <f>SUM(F59:F75)</f>
        <v>0</v>
      </c>
      <c r="G76" s="28">
        <f>SUM(G59:G75)</f>
        <v>0</v>
      </c>
      <c r="H76" s="28">
        <f>SUM(H59:H75)</f>
        <v>0</v>
      </c>
      <c r="I76" s="28">
        <f t="shared" si="3"/>
        <v>0</v>
      </c>
      <c r="K76" s="138"/>
    </row>
    <row r="77" spans="3:11" x14ac:dyDescent="0.25">
      <c r="C77" s="10" t="s">
        <v>153</v>
      </c>
      <c r="D77" s="56" t="e">
        <f>SUM(D58:D76)</f>
        <v>#DIV/0!</v>
      </c>
      <c r="E77" s="28">
        <f>E76+E58</f>
        <v>0</v>
      </c>
      <c r="F77" s="28">
        <f>F76+F58</f>
        <v>0</v>
      </c>
      <c r="G77" s="28">
        <f>G76+G58</f>
        <v>0</v>
      </c>
      <c r="H77" s="28">
        <f>H76+H58</f>
        <v>0</v>
      </c>
      <c r="I77" s="28">
        <f>I76+I58</f>
        <v>0</v>
      </c>
      <c r="K77" s="138"/>
    </row>
  </sheetData>
  <sheetProtection algorithmName="SHA-512" hashValue="KfERpujQBN/0zFqkYtyQ5IP5IGyphxSM/NAsaLb2mAhTSQI+R7DhV/KDvxZlFjesagg1mXeRL/xHjPa/opdRPw==" saltValue="Cp+ru223MFBMEkv7WXiWtw==" spinCount="100000" sheet="1" objects="1" scenarios="1"/>
  <mergeCells count="7">
    <mergeCell ref="D11:G11"/>
    <mergeCell ref="B33:B42"/>
    <mergeCell ref="B45:B54"/>
    <mergeCell ref="C25:L25"/>
    <mergeCell ref="C26:L26"/>
    <mergeCell ref="C28:L28"/>
    <mergeCell ref="C29:L29"/>
  </mergeCells>
  <conditionalFormatting sqref="F22">
    <cfRule type="expression" dxfId="2" priority="3">
      <formula>$D$22="Other"</formula>
    </cfRule>
  </conditionalFormatting>
  <conditionalFormatting sqref="J68:J70">
    <cfRule type="expression" dxfId="1" priority="2">
      <formula>$I68&gt;0</formula>
    </cfRule>
  </conditionalFormatting>
  <conditionalFormatting sqref="K68:K70">
    <cfRule type="expression" dxfId="0" priority="1">
      <formula>$I68&gt;0</formula>
    </cfRule>
  </conditionalFormatting>
  <dataValidations count="1">
    <dataValidation type="list" allowBlank="1" showInputMessage="1" showErrorMessage="1" sqref="D22" xr:uid="{00000000-0002-0000-0D00-000003000000}">
      <formula1>"FHA,Private Placement, Letter of Credit, Other"</formula1>
    </dataValidation>
  </dataValidations>
  <pageMargins left="0.7" right="0.7" top="0.75" bottom="0.75" header="0.3" footer="0.3"/>
  <pageSetup scale="42" orientation="portrait" r:id="rId1"/>
  <ignoredErrors>
    <ignoredError sqref="D10" evalError="1"/>
  </ignoredError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M135"/>
  <sheetViews>
    <sheetView showGridLines="0" zoomScale="85" zoomScaleNormal="85" zoomScalePageLayoutView="70" workbookViewId="0">
      <selection activeCell="C5" sqref="C5"/>
    </sheetView>
  </sheetViews>
  <sheetFormatPr defaultRowHeight="13.8" x14ac:dyDescent="0.25"/>
  <cols>
    <col min="1" max="1" width="7.8984375" customWidth="1"/>
    <col min="2" max="2" width="32.3984375" customWidth="1"/>
    <col min="3" max="3" width="35.59765625" customWidth="1"/>
    <col min="4" max="4" width="25.8984375" customWidth="1"/>
    <col min="5" max="5" width="19.5" customWidth="1"/>
    <col min="6" max="6" width="20.09765625" customWidth="1"/>
    <col min="7" max="7" width="18" customWidth="1"/>
    <col min="8" max="8" width="17.59765625" bestFit="1" customWidth="1"/>
    <col min="9" max="9" width="9.19921875" bestFit="1" customWidth="1"/>
    <col min="10" max="10" width="17.59765625" customWidth="1"/>
    <col min="11" max="11" width="12.19921875" customWidth="1"/>
  </cols>
  <sheetData>
    <row r="1" spans="1:13" s="5" customFormat="1" ht="54.9" customHeight="1" x14ac:dyDescent="0.25"/>
    <row r="2" spans="1:13" s="139" customFormat="1" ht="23.4" x14ac:dyDescent="0.4">
      <c r="A2" s="3" t="s">
        <v>1195</v>
      </c>
      <c r="B2" s="188"/>
      <c r="C2" s="1"/>
      <c r="D2" s="1"/>
      <c r="E2" s="1"/>
      <c r="F2" s="1"/>
      <c r="G2" s="1"/>
      <c r="H2" s="1"/>
      <c r="I2" s="1"/>
      <c r="J2" s="1"/>
      <c r="K2" s="1"/>
      <c r="L2" s="1"/>
      <c r="M2" s="1"/>
    </row>
    <row r="3" spans="1:13" s="140" customFormat="1" ht="15" x14ac:dyDescent="0.25">
      <c r="A3" s="4" t="s">
        <v>1108</v>
      </c>
      <c r="B3" s="35">
        <f>'Project Details'!C7</f>
        <v>0</v>
      </c>
      <c r="C3" s="35"/>
      <c r="D3" s="35"/>
      <c r="E3" s="2"/>
      <c r="F3" s="2"/>
      <c r="G3" s="2"/>
      <c r="H3" s="2"/>
      <c r="I3" s="2"/>
      <c r="J3" s="2"/>
      <c r="K3" s="2"/>
      <c r="L3" s="2"/>
      <c r="M3" s="2"/>
    </row>
    <row r="4" spans="1:13" x14ac:dyDescent="0.25">
      <c r="A4" s="5"/>
      <c r="B4" s="5"/>
      <c r="C4" s="5"/>
      <c r="D4" s="5"/>
      <c r="E4" s="5"/>
      <c r="F4" s="5"/>
      <c r="G4" s="5"/>
      <c r="H4" s="5"/>
      <c r="I4" s="5"/>
      <c r="J4" s="5"/>
    </row>
    <row r="5" spans="1:13" x14ac:dyDescent="0.25">
      <c r="A5" s="5"/>
      <c r="B5" s="34" t="s">
        <v>715</v>
      </c>
      <c r="C5" s="603" t="str">
        <f>IF('Development Team'!D173="","",'Development Team'!D173)</f>
        <v/>
      </c>
      <c r="D5" s="5"/>
      <c r="E5" s="5"/>
      <c r="F5" s="5"/>
      <c r="G5" s="5"/>
      <c r="H5" s="5"/>
      <c r="I5" s="5"/>
      <c r="J5" s="5"/>
    </row>
    <row r="6" spans="1:13" x14ac:dyDescent="0.25">
      <c r="A6" s="5"/>
      <c r="B6" s="34" t="s">
        <v>1196</v>
      </c>
      <c r="C6" s="603" t="str">
        <f>IF('Development Team'!D174="","",'Development Team'!D174)</f>
        <v/>
      </c>
      <c r="D6" s="5"/>
      <c r="E6" s="5"/>
      <c r="F6" s="5"/>
      <c r="G6" s="5"/>
      <c r="H6" s="5"/>
      <c r="I6" s="5"/>
      <c r="J6" s="5"/>
    </row>
    <row r="7" spans="1:13" x14ac:dyDescent="0.25">
      <c r="A7" s="5"/>
      <c r="B7" s="34" t="s">
        <v>1197</v>
      </c>
      <c r="C7" s="603" t="str">
        <f>CONCATENATE('Development Team'!D175,", ",'Development Team'!D177," ",LEFT('Development Team'!D178,5))</f>
        <v xml:space="preserve">,  </v>
      </c>
      <c r="D7" s="5"/>
      <c r="E7" s="5"/>
      <c r="F7" s="5"/>
      <c r="G7" s="5"/>
      <c r="H7" s="5"/>
      <c r="I7" s="5"/>
      <c r="J7" s="5"/>
    </row>
    <row r="8" spans="1:13" x14ac:dyDescent="0.25">
      <c r="A8" s="5"/>
      <c r="B8" s="34" t="s">
        <v>124</v>
      </c>
      <c r="C8" s="603" t="str">
        <f>CONCATENATE('Development Team'!G174," ",'Development Team'!G175)</f>
        <v xml:space="preserve"> </v>
      </c>
      <c r="D8" s="5"/>
      <c r="E8" s="5"/>
      <c r="F8" s="5"/>
      <c r="G8" s="5"/>
      <c r="H8" s="5"/>
      <c r="I8" s="5"/>
      <c r="J8" s="5"/>
    </row>
    <row r="9" spans="1:13" x14ac:dyDescent="0.25">
      <c r="A9" s="5"/>
      <c r="B9" s="34" t="s">
        <v>121</v>
      </c>
      <c r="C9" s="603" t="str">
        <f>IF('Development Team'!G176="","",'Development Team'!G176)</f>
        <v/>
      </c>
      <c r="D9" s="5"/>
      <c r="E9" s="5"/>
      <c r="F9" s="5"/>
      <c r="G9" s="5"/>
      <c r="H9" s="5"/>
      <c r="I9" s="5"/>
      <c r="J9" s="5"/>
    </row>
    <row r="10" spans="1:13" x14ac:dyDescent="0.25">
      <c r="A10" s="5"/>
      <c r="B10" s="34" t="s">
        <v>1198</v>
      </c>
      <c r="C10" s="603" t="str">
        <f>IF('Development Team'!G178="","",'Development Team'!G178)</f>
        <v/>
      </c>
      <c r="D10" s="5"/>
      <c r="E10" s="5"/>
      <c r="F10" s="5"/>
      <c r="G10" s="5"/>
      <c r="H10" s="5"/>
      <c r="I10" s="5"/>
      <c r="J10" s="5"/>
    </row>
    <row r="11" spans="1:13" x14ac:dyDescent="0.25">
      <c r="A11" s="5"/>
      <c r="B11" s="34" t="s">
        <v>146</v>
      </c>
      <c r="C11" s="604" t="str">
        <f>IF('Development Team'!G177="","",'Development Team'!G178)</f>
        <v/>
      </c>
      <c r="D11" s="5"/>
      <c r="E11" s="5"/>
      <c r="F11" s="5"/>
      <c r="G11" s="5"/>
      <c r="H11" s="5"/>
      <c r="I11" s="5"/>
      <c r="J11" s="5"/>
    </row>
    <row r="12" spans="1:13" x14ac:dyDescent="0.25">
      <c r="A12" s="5"/>
      <c r="B12" s="5"/>
      <c r="C12" s="5"/>
      <c r="D12" s="5"/>
      <c r="E12" s="5"/>
      <c r="F12" s="5"/>
      <c r="G12" s="5"/>
      <c r="H12" s="5"/>
      <c r="I12" s="5"/>
      <c r="J12" s="5"/>
    </row>
    <row r="13" spans="1:13" ht="22.5" customHeight="1" x14ac:dyDescent="0.3">
      <c r="A13" s="429" t="s">
        <v>1356</v>
      </c>
      <c r="B13" s="427"/>
      <c r="C13" s="427"/>
      <c r="D13" s="428"/>
      <c r="E13" s="428"/>
      <c r="F13" s="435"/>
      <c r="G13" s="436"/>
      <c r="H13" s="436"/>
      <c r="I13" s="436"/>
      <c r="J13" s="5"/>
    </row>
    <row r="14" spans="1:13" x14ac:dyDescent="0.25">
      <c r="A14" s="5"/>
      <c r="B14" s="5"/>
      <c r="C14" s="5"/>
      <c r="D14" s="5"/>
      <c r="E14" s="5"/>
      <c r="F14" s="5"/>
      <c r="G14" s="5"/>
      <c r="H14" s="5"/>
      <c r="I14" s="5"/>
      <c r="J14" s="5"/>
    </row>
    <row r="15" spans="1:13" x14ac:dyDescent="0.25">
      <c r="A15" s="5"/>
      <c r="B15" s="688" t="s">
        <v>1646</v>
      </c>
      <c r="C15" s="688"/>
      <c r="D15" s="688"/>
      <c r="E15" s="688"/>
      <c r="F15" s="688"/>
      <c r="G15" s="688"/>
      <c r="H15" s="688"/>
      <c r="I15" s="5"/>
      <c r="J15" s="5"/>
    </row>
    <row r="16" spans="1:13" ht="18" customHeight="1" x14ac:dyDescent="0.25">
      <c r="A16" s="5"/>
      <c r="B16" s="688"/>
      <c r="C16" s="688"/>
      <c r="D16" s="688"/>
      <c r="E16" s="688"/>
      <c r="F16" s="688"/>
      <c r="G16" s="688"/>
      <c r="H16" s="688"/>
      <c r="I16" s="5"/>
      <c r="J16" s="5"/>
    </row>
    <row r="17" spans="1:10" ht="18" customHeight="1" x14ac:dyDescent="0.3">
      <c r="A17" s="5"/>
      <c r="B17" s="220" t="s">
        <v>1366</v>
      </c>
      <c r="C17" s="216"/>
      <c r="D17" s="216"/>
      <c r="E17" s="216"/>
      <c r="F17" s="216"/>
      <c r="G17" s="216"/>
      <c r="H17" s="216"/>
      <c r="I17" s="5"/>
      <c r="J17" s="5"/>
    </row>
    <row r="18" spans="1:10" ht="14.4" x14ac:dyDescent="0.3">
      <c r="A18" s="5"/>
      <c r="B18" s="444"/>
      <c r="C18" s="216"/>
      <c r="D18" s="216"/>
      <c r="E18" s="216"/>
      <c r="F18" s="216"/>
      <c r="G18" s="216"/>
      <c r="H18" s="216"/>
      <c r="I18" s="5"/>
      <c r="J18" s="5"/>
    </row>
    <row r="19" spans="1:10" x14ac:dyDescent="0.25">
      <c r="A19" s="5"/>
      <c r="B19" s="5"/>
      <c r="C19" s="5"/>
      <c r="D19" s="5"/>
      <c r="E19" s="5"/>
      <c r="F19" s="5"/>
      <c r="G19" s="5"/>
      <c r="H19" s="5"/>
      <c r="I19" s="5"/>
      <c r="J19" s="5"/>
    </row>
    <row r="20" spans="1:10" ht="14.25" customHeight="1" x14ac:dyDescent="0.3">
      <c r="A20" s="5"/>
      <c r="B20" s="220" t="s">
        <v>1199</v>
      </c>
      <c r="C20" s="138"/>
      <c r="D20" s="138"/>
      <c r="E20" s="142"/>
      <c r="F20" s="142"/>
      <c r="G20" s="5"/>
      <c r="H20" s="5"/>
      <c r="I20" s="5"/>
      <c r="J20" s="5"/>
    </row>
    <row r="21" spans="1:10" x14ac:dyDescent="0.25">
      <c r="A21" s="5"/>
      <c r="B21" s="431"/>
      <c r="C21" s="430"/>
      <c r="D21" s="5"/>
      <c r="E21" s="5"/>
      <c r="F21" s="5"/>
      <c r="G21" s="5"/>
      <c r="H21" s="5"/>
      <c r="I21" s="5"/>
      <c r="J21" s="5"/>
    </row>
    <row r="22" spans="1:10" x14ac:dyDescent="0.25">
      <c r="A22" s="5"/>
      <c r="B22" s="221"/>
      <c r="C22" s="222"/>
      <c r="D22" s="222"/>
      <c r="E22" s="222"/>
      <c r="F22" s="222"/>
      <c r="G22" s="5"/>
      <c r="H22" s="5"/>
      <c r="I22" s="5"/>
      <c r="J22" s="5"/>
    </row>
    <row r="23" spans="1:10" ht="14.25" customHeight="1" x14ac:dyDescent="0.25">
      <c r="A23" s="5"/>
      <c r="B23" s="437" t="s">
        <v>1349</v>
      </c>
      <c r="C23" s="430"/>
      <c r="D23" s="430"/>
      <c r="E23" s="430"/>
      <c r="F23" s="430"/>
      <c r="G23" s="5"/>
      <c r="H23" s="5"/>
      <c r="I23" s="5"/>
      <c r="J23" s="5"/>
    </row>
    <row r="24" spans="1:10" x14ac:dyDescent="0.25">
      <c r="A24" s="5"/>
      <c r="B24" s="433" t="s">
        <v>1360</v>
      </c>
      <c r="C24" s="432"/>
      <c r="D24" s="5"/>
      <c r="E24" s="219"/>
      <c r="F24" s="219"/>
      <c r="G24" s="5"/>
      <c r="H24" s="5"/>
      <c r="I24" s="5"/>
      <c r="J24" s="5"/>
    </row>
    <row r="25" spans="1:10" x14ac:dyDescent="0.25">
      <c r="A25" s="5"/>
      <c r="B25" s="433" t="s">
        <v>1359</v>
      </c>
      <c r="C25" s="432"/>
      <c r="D25" s="5"/>
      <c r="E25" s="219"/>
      <c r="F25" s="219"/>
      <c r="G25" s="5"/>
      <c r="H25" s="5"/>
      <c r="I25" s="5"/>
      <c r="J25" s="5"/>
    </row>
    <row r="26" spans="1:10" x14ac:dyDescent="0.25">
      <c r="A26" s="5"/>
      <c r="B26" s="434" t="s">
        <v>1357</v>
      </c>
      <c r="C26" s="578"/>
      <c r="D26" s="5"/>
      <c r="E26" s="219"/>
      <c r="F26" s="219"/>
      <c r="G26" s="5"/>
      <c r="H26" s="5"/>
      <c r="I26" s="5"/>
      <c r="J26" s="5"/>
    </row>
    <row r="27" spans="1:10" x14ac:dyDescent="0.25">
      <c r="A27" s="5"/>
      <c r="B27" s="433" t="s">
        <v>1358</v>
      </c>
      <c r="C27" s="432"/>
      <c r="D27" s="5"/>
      <c r="E27" s="219"/>
      <c r="F27" s="219"/>
      <c r="G27" s="5"/>
      <c r="H27" s="5"/>
      <c r="I27" s="5"/>
      <c r="J27" s="5"/>
    </row>
    <row r="28" spans="1:10" x14ac:dyDescent="0.25">
      <c r="A28" s="5"/>
      <c r="B28" s="5"/>
      <c r="C28" s="5"/>
      <c r="D28" s="5"/>
      <c r="E28" s="5"/>
      <c r="F28" s="5"/>
      <c r="G28" s="5"/>
      <c r="H28" s="5"/>
      <c r="I28" s="5"/>
      <c r="J28" s="5"/>
    </row>
    <row r="29" spans="1:10" ht="14.4" x14ac:dyDescent="0.3">
      <c r="A29" s="5"/>
      <c r="B29" s="438" t="s">
        <v>1647</v>
      </c>
      <c r="C29" s="5"/>
      <c r="D29" s="5"/>
      <c r="E29" s="5"/>
      <c r="F29" s="5"/>
      <c r="G29" s="5"/>
      <c r="H29" s="5"/>
      <c r="I29" s="5"/>
      <c r="J29" s="5"/>
    </row>
    <row r="30" spans="1:10" ht="31.5" customHeight="1" x14ac:dyDescent="0.25">
      <c r="A30" s="5"/>
      <c r="B30" s="52" t="s">
        <v>1350</v>
      </c>
      <c r="C30" s="52" t="s">
        <v>1351</v>
      </c>
      <c r="D30" s="52" t="s">
        <v>1352</v>
      </c>
      <c r="E30" s="52" t="s">
        <v>1353</v>
      </c>
      <c r="F30" s="52" t="s">
        <v>1354</v>
      </c>
      <c r="G30" s="52" t="s">
        <v>1355</v>
      </c>
      <c r="H30" s="52" t="s">
        <v>156</v>
      </c>
      <c r="I30" s="52" t="s">
        <v>152</v>
      </c>
      <c r="J30" s="5"/>
    </row>
    <row r="31" spans="1:10" ht="14.25" customHeight="1" x14ac:dyDescent="0.25">
      <c r="A31" s="5"/>
      <c r="B31" s="118"/>
      <c r="C31" s="118"/>
      <c r="D31" s="118"/>
      <c r="E31" s="118"/>
      <c r="F31" s="93"/>
      <c r="G31" s="118"/>
      <c r="H31" s="137"/>
      <c r="I31" s="118"/>
      <c r="J31" s="5"/>
    </row>
    <row r="32" spans="1:10" ht="14.25" customHeight="1" x14ac:dyDescent="0.25">
      <c r="A32" s="5"/>
      <c r="B32" s="118"/>
      <c r="C32" s="118"/>
      <c r="D32" s="118"/>
      <c r="E32" s="118"/>
      <c r="F32" s="93"/>
      <c r="G32" s="118"/>
      <c r="H32" s="137"/>
      <c r="I32" s="118"/>
      <c r="J32" s="5"/>
    </row>
    <row r="33" spans="1:10" ht="14.25" customHeight="1" x14ac:dyDescent="0.25">
      <c r="A33" s="5"/>
      <c r="B33" s="118"/>
      <c r="C33" s="118"/>
      <c r="D33" s="118"/>
      <c r="E33" s="118"/>
      <c r="F33" s="93"/>
      <c r="G33" s="118"/>
      <c r="H33" s="137"/>
      <c r="I33" s="118"/>
      <c r="J33" s="5"/>
    </row>
    <row r="34" spans="1:10" ht="14.25" customHeight="1" x14ac:dyDescent="0.25">
      <c r="A34" s="5"/>
      <c r="B34" s="118"/>
      <c r="C34" s="118"/>
      <c r="D34" s="118"/>
      <c r="E34" s="118"/>
      <c r="F34" s="93"/>
      <c r="G34" s="118"/>
      <c r="H34" s="137"/>
      <c r="I34" s="118"/>
      <c r="J34" s="5"/>
    </row>
    <row r="35" spans="1:10" ht="14.25" customHeight="1" x14ac:dyDescent="0.25">
      <c r="A35" s="5"/>
      <c r="B35" s="118"/>
      <c r="C35" s="118"/>
      <c r="D35" s="118"/>
      <c r="E35" s="118"/>
      <c r="F35" s="93"/>
      <c r="G35" s="118"/>
      <c r="H35" s="137"/>
      <c r="I35" s="118"/>
      <c r="J35" s="5"/>
    </row>
    <row r="36" spans="1:10" ht="14.25" customHeight="1" x14ac:dyDescent="0.25">
      <c r="A36" s="5"/>
      <c r="B36" s="118"/>
      <c r="C36" s="118"/>
      <c r="D36" s="118"/>
      <c r="E36" s="118"/>
      <c r="F36" s="93"/>
      <c r="G36" s="118"/>
      <c r="H36" s="137"/>
      <c r="I36" s="118"/>
      <c r="J36" s="5"/>
    </row>
    <row r="37" spans="1:10" ht="14.25" customHeight="1" x14ac:dyDescent="0.25">
      <c r="A37" s="5"/>
      <c r="B37" s="118"/>
      <c r="C37" s="118"/>
      <c r="D37" s="118"/>
      <c r="E37" s="118"/>
      <c r="F37" s="93"/>
      <c r="G37" s="118"/>
      <c r="H37" s="137"/>
      <c r="I37" s="118"/>
      <c r="J37" s="5"/>
    </row>
    <row r="38" spans="1:10" ht="14.25" customHeight="1" x14ac:dyDescent="0.25">
      <c r="A38" s="5"/>
      <c r="B38" s="118"/>
      <c r="C38" s="118"/>
      <c r="D38" s="118"/>
      <c r="E38" s="118"/>
      <c r="F38" s="93"/>
      <c r="G38" s="118"/>
      <c r="H38" s="137"/>
      <c r="I38" s="118"/>
      <c r="J38" s="5"/>
    </row>
    <row r="39" spans="1:10" ht="14.25" customHeight="1" x14ac:dyDescent="0.25">
      <c r="A39" s="5"/>
      <c r="B39" s="118"/>
      <c r="C39" s="118"/>
      <c r="D39" s="118"/>
      <c r="E39" s="118"/>
      <c r="F39" s="93"/>
      <c r="G39" s="118"/>
      <c r="H39" s="137"/>
      <c r="I39" s="118"/>
      <c r="J39" s="5"/>
    </row>
    <row r="40" spans="1:10" x14ac:dyDescent="0.25">
      <c r="A40" s="5"/>
      <c r="G40" s="5"/>
      <c r="H40" s="5"/>
      <c r="I40" s="5"/>
      <c r="J40" s="5"/>
    </row>
    <row r="41" spans="1:10" ht="14.25" customHeight="1" x14ac:dyDescent="0.25">
      <c r="A41" s="5"/>
      <c r="B41" s="437" t="s">
        <v>1361</v>
      </c>
      <c r="C41" s="430"/>
      <c r="D41" s="430"/>
      <c r="E41" s="430"/>
      <c r="F41" s="430"/>
      <c r="G41" s="5"/>
      <c r="H41" s="5"/>
      <c r="I41" s="5"/>
      <c r="J41" s="5"/>
    </row>
    <row r="42" spans="1:10" ht="19.5" customHeight="1" x14ac:dyDescent="0.25">
      <c r="A42" s="5"/>
      <c r="B42" s="430"/>
      <c r="C42" s="430"/>
      <c r="D42" s="430"/>
      <c r="E42" s="430"/>
      <c r="F42" s="430"/>
      <c r="G42" s="5"/>
      <c r="H42" s="5"/>
      <c r="I42" s="5"/>
      <c r="J42" s="5"/>
    </row>
    <row r="43" spans="1:10" ht="15" customHeight="1" x14ac:dyDescent="0.25">
      <c r="A43" s="5"/>
      <c r="B43" s="844" t="s">
        <v>1201</v>
      </c>
      <c r="C43" s="886"/>
      <c r="D43" s="886"/>
      <c r="E43" s="886"/>
      <c r="F43" s="886"/>
      <c r="G43" s="5"/>
      <c r="H43" s="5"/>
      <c r="I43" s="5"/>
      <c r="J43" s="5"/>
    </row>
    <row r="44" spans="1:10" x14ac:dyDescent="0.25">
      <c r="A44" s="5"/>
      <c r="B44" s="886"/>
      <c r="C44" s="886"/>
      <c r="D44" s="886"/>
      <c r="E44" s="886"/>
      <c r="F44" s="886"/>
      <c r="G44" s="5"/>
      <c r="H44" s="5"/>
      <c r="I44" s="5"/>
      <c r="J44" s="5"/>
    </row>
    <row r="45" spans="1:10" x14ac:dyDescent="0.25">
      <c r="A45" s="5"/>
      <c r="B45" s="886"/>
      <c r="C45" s="886"/>
      <c r="D45" s="886"/>
      <c r="E45" s="886"/>
      <c r="F45" s="886"/>
      <c r="G45" s="5"/>
      <c r="H45" s="5"/>
      <c r="I45" s="5"/>
      <c r="J45" s="5"/>
    </row>
    <row r="46" spans="1:10" x14ac:dyDescent="0.25">
      <c r="A46" s="5"/>
      <c r="B46" s="886"/>
      <c r="C46" s="886"/>
      <c r="D46" s="886"/>
      <c r="E46" s="886"/>
      <c r="F46" s="886"/>
      <c r="G46" s="5"/>
      <c r="H46" s="5"/>
      <c r="I46" s="5"/>
      <c r="J46" s="5"/>
    </row>
    <row r="47" spans="1:10" x14ac:dyDescent="0.25">
      <c r="A47" s="5"/>
      <c r="B47" s="886"/>
      <c r="C47" s="886"/>
      <c r="D47" s="886"/>
      <c r="E47" s="886"/>
      <c r="F47" s="886"/>
      <c r="G47" s="5"/>
      <c r="H47" s="5"/>
      <c r="I47" s="5"/>
      <c r="J47" s="5"/>
    </row>
    <row r="48" spans="1:10" x14ac:dyDescent="0.25">
      <c r="A48" s="5"/>
      <c r="B48" s="886"/>
      <c r="C48" s="886"/>
      <c r="D48" s="886"/>
      <c r="E48" s="886"/>
      <c r="F48" s="886"/>
      <c r="G48" s="5"/>
      <c r="H48" s="5"/>
      <c r="I48" s="5"/>
      <c r="J48" s="5"/>
    </row>
    <row r="49" spans="1:10" x14ac:dyDescent="0.25">
      <c r="A49" s="5"/>
      <c r="B49" s="5"/>
      <c r="C49" s="5"/>
      <c r="D49" s="5"/>
      <c r="E49" s="5"/>
      <c r="F49" s="5"/>
      <c r="G49" s="5"/>
      <c r="H49" s="5"/>
      <c r="I49" s="5"/>
      <c r="J49" s="5"/>
    </row>
    <row r="50" spans="1:10" x14ac:dyDescent="0.25">
      <c r="A50" s="5"/>
      <c r="B50" s="884" t="s">
        <v>1200</v>
      </c>
      <c r="C50" s="884"/>
      <c r="D50" s="884"/>
      <c r="E50" s="884"/>
      <c r="F50" s="884"/>
      <c r="G50" s="5"/>
      <c r="H50" s="5"/>
      <c r="I50" s="5"/>
      <c r="J50" s="5"/>
    </row>
    <row r="51" spans="1:10" ht="32.25" customHeight="1" x14ac:dyDescent="0.25">
      <c r="A51" s="5"/>
      <c r="B51" s="884"/>
      <c r="C51" s="884"/>
      <c r="D51" s="884"/>
      <c r="E51" s="884"/>
      <c r="F51" s="884"/>
      <c r="G51" s="5"/>
      <c r="H51" s="5"/>
      <c r="I51" s="5"/>
      <c r="J51" s="5"/>
    </row>
    <row r="52" spans="1:10" ht="15" customHeight="1" x14ac:dyDescent="0.25">
      <c r="A52" s="5"/>
      <c r="B52" s="844" t="s">
        <v>1201</v>
      </c>
      <c r="C52" s="844"/>
      <c r="D52" s="844"/>
      <c r="E52" s="844"/>
      <c r="F52" s="844"/>
      <c r="G52" s="5"/>
      <c r="H52" s="5"/>
      <c r="I52" s="5"/>
      <c r="J52" s="5"/>
    </row>
    <row r="53" spans="1:10" x14ac:dyDescent="0.25">
      <c r="A53" s="5"/>
      <c r="B53" s="844"/>
      <c r="C53" s="844"/>
      <c r="D53" s="844"/>
      <c r="E53" s="844"/>
      <c r="F53" s="844"/>
      <c r="G53" s="5"/>
      <c r="H53" s="5"/>
      <c r="I53" s="5"/>
      <c r="J53" s="5"/>
    </row>
    <row r="54" spans="1:10" x14ac:dyDescent="0.25">
      <c r="A54" s="5"/>
      <c r="B54" s="844"/>
      <c r="C54" s="844"/>
      <c r="D54" s="844"/>
      <c r="E54" s="844"/>
      <c r="F54" s="844"/>
      <c r="G54" s="5"/>
      <c r="H54" s="5"/>
      <c r="I54" s="5"/>
      <c r="J54" s="5"/>
    </row>
    <row r="55" spans="1:10" x14ac:dyDescent="0.25">
      <c r="A55" s="5"/>
      <c r="B55" s="844"/>
      <c r="C55" s="844"/>
      <c r="D55" s="844"/>
      <c r="E55" s="844"/>
      <c r="F55" s="844"/>
      <c r="G55" s="5"/>
      <c r="H55" s="5"/>
      <c r="I55" s="5"/>
      <c r="J55" s="5"/>
    </row>
    <row r="56" spans="1:10" x14ac:dyDescent="0.25">
      <c r="A56" s="5"/>
      <c r="B56" s="844"/>
      <c r="C56" s="844"/>
      <c r="D56" s="844"/>
      <c r="E56" s="844"/>
      <c r="F56" s="844"/>
      <c r="G56" s="5"/>
      <c r="H56" s="5"/>
      <c r="I56" s="5"/>
      <c r="J56" s="5"/>
    </row>
    <row r="57" spans="1:10" x14ac:dyDescent="0.25">
      <c r="A57" s="5"/>
      <c r="B57" s="844"/>
      <c r="C57" s="844"/>
      <c r="D57" s="844"/>
      <c r="E57" s="844"/>
      <c r="F57" s="844"/>
      <c r="G57" s="5"/>
      <c r="H57" s="5"/>
      <c r="I57" s="5"/>
      <c r="J57" s="5"/>
    </row>
    <row r="58" spans="1:10" x14ac:dyDescent="0.25">
      <c r="A58" s="5"/>
      <c r="B58" s="5"/>
      <c r="C58" s="5"/>
      <c r="D58" s="5"/>
      <c r="E58" s="5"/>
      <c r="F58" s="5"/>
      <c r="G58" s="5"/>
      <c r="H58" s="5"/>
      <c r="I58" s="5"/>
      <c r="J58" s="5"/>
    </row>
    <row r="59" spans="1:10" ht="14.25" customHeight="1" x14ac:dyDescent="0.25">
      <c r="A59" s="5"/>
      <c r="B59" s="437" t="s">
        <v>1202</v>
      </c>
      <c r="C59" s="430"/>
      <c r="D59" s="430"/>
      <c r="E59" s="430"/>
      <c r="F59" s="430"/>
      <c r="G59" s="5"/>
      <c r="H59" s="5"/>
      <c r="I59" s="5"/>
      <c r="J59" s="5"/>
    </row>
    <row r="60" spans="1:10" ht="15.75" customHeight="1" x14ac:dyDescent="0.25">
      <c r="A60" s="5"/>
      <c r="B60" s="439"/>
      <c r="C60" s="439"/>
      <c r="D60" s="439"/>
      <c r="E60" s="439"/>
      <c r="F60" s="439"/>
      <c r="G60" s="5"/>
      <c r="H60" s="5"/>
      <c r="I60" s="5"/>
      <c r="J60" s="5"/>
    </row>
    <row r="61" spans="1:10" ht="15" customHeight="1" x14ac:dyDescent="0.25">
      <c r="A61" s="5"/>
      <c r="B61" s="844" t="s">
        <v>1201</v>
      </c>
      <c r="C61" s="844"/>
      <c r="D61" s="844"/>
      <c r="E61" s="844"/>
      <c r="F61" s="844"/>
      <c r="G61" s="5"/>
      <c r="H61" s="5"/>
      <c r="I61" s="5"/>
      <c r="J61" s="5"/>
    </row>
    <row r="62" spans="1:10" x14ac:dyDescent="0.25">
      <c r="A62" s="5"/>
      <c r="B62" s="844"/>
      <c r="C62" s="844"/>
      <c r="D62" s="844"/>
      <c r="E62" s="844"/>
      <c r="F62" s="844"/>
      <c r="G62" s="5"/>
      <c r="H62" s="5"/>
      <c r="I62" s="5"/>
      <c r="J62" s="5"/>
    </row>
    <row r="63" spans="1:10" x14ac:dyDescent="0.25">
      <c r="A63" s="5"/>
      <c r="B63" s="844"/>
      <c r="C63" s="844"/>
      <c r="D63" s="844"/>
      <c r="E63" s="844"/>
      <c r="F63" s="844"/>
      <c r="G63" s="5"/>
      <c r="H63" s="5"/>
      <c r="I63" s="5"/>
      <c r="J63" s="5"/>
    </row>
    <row r="64" spans="1:10" x14ac:dyDescent="0.25">
      <c r="A64" s="5"/>
      <c r="B64" s="844"/>
      <c r="C64" s="844"/>
      <c r="D64" s="844"/>
      <c r="E64" s="844"/>
      <c r="F64" s="844"/>
      <c r="G64" s="5"/>
      <c r="H64" s="5"/>
      <c r="I64" s="5"/>
      <c r="J64" s="5"/>
    </row>
    <row r="65" spans="1:10" x14ac:dyDescent="0.25">
      <c r="A65" s="5"/>
      <c r="B65" s="844"/>
      <c r="C65" s="844"/>
      <c r="D65" s="844"/>
      <c r="E65" s="844"/>
      <c r="F65" s="844"/>
      <c r="G65" s="5"/>
      <c r="H65" s="5"/>
      <c r="I65" s="5"/>
      <c r="J65" s="5"/>
    </row>
    <row r="66" spans="1:10" x14ac:dyDescent="0.25">
      <c r="A66" s="5"/>
      <c r="B66" s="844"/>
      <c r="C66" s="844"/>
      <c r="D66" s="844"/>
      <c r="E66" s="844"/>
      <c r="F66" s="844"/>
      <c r="G66" s="5"/>
      <c r="H66" s="5"/>
      <c r="I66" s="5"/>
      <c r="J66" s="5"/>
    </row>
    <row r="67" spans="1:10" x14ac:dyDescent="0.25">
      <c r="A67" s="5"/>
      <c r="B67" s="5"/>
      <c r="C67" s="5"/>
      <c r="D67" s="5"/>
      <c r="E67" s="5"/>
      <c r="F67" s="5"/>
      <c r="G67" s="5"/>
      <c r="H67" s="5"/>
      <c r="I67" s="5"/>
      <c r="J67" s="5"/>
    </row>
    <row r="68" spans="1:10" ht="14.4" x14ac:dyDescent="0.25">
      <c r="A68" s="5"/>
      <c r="B68" s="437" t="s">
        <v>1362</v>
      </c>
      <c r="C68" s="430"/>
      <c r="D68" s="430"/>
      <c r="E68" s="430"/>
      <c r="F68" s="430"/>
      <c r="G68" s="5"/>
      <c r="H68" s="5"/>
      <c r="I68" s="5"/>
      <c r="J68" s="5"/>
    </row>
    <row r="69" spans="1:10" x14ac:dyDescent="0.25">
      <c r="A69" s="5"/>
      <c r="B69" s="439"/>
      <c r="C69" s="439"/>
      <c r="D69" s="439"/>
      <c r="E69" s="439"/>
      <c r="F69" s="439"/>
      <c r="G69" s="5"/>
      <c r="H69" s="5"/>
      <c r="I69" s="5"/>
      <c r="J69" s="5"/>
    </row>
    <row r="70" spans="1:10" ht="15" customHeight="1" x14ac:dyDescent="0.25">
      <c r="A70" s="5"/>
      <c r="B70" s="844" t="s">
        <v>1203</v>
      </c>
      <c r="C70" s="844"/>
      <c r="D70" s="844"/>
      <c r="E70" s="844"/>
      <c r="F70" s="844"/>
      <c r="G70" s="5"/>
      <c r="H70" s="5"/>
      <c r="I70" s="5"/>
      <c r="J70" s="5"/>
    </row>
    <row r="71" spans="1:10" x14ac:dyDescent="0.25">
      <c r="A71" s="5"/>
      <c r="B71" s="844"/>
      <c r="C71" s="844"/>
      <c r="D71" s="844"/>
      <c r="E71" s="844"/>
      <c r="F71" s="844"/>
      <c r="G71" s="5"/>
      <c r="H71" s="5"/>
      <c r="I71" s="5"/>
      <c r="J71" s="5"/>
    </row>
    <row r="72" spans="1:10" x14ac:dyDescent="0.25">
      <c r="A72" s="5"/>
      <c r="B72" s="844"/>
      <c r="C72" s="844"/>
      <c r="D72" s="844"/>
      <c r="E72" s="844"/>
      <c r="F72" s="844"/>
      <c r="G72" s="5"/>
      <c r="H72" s="5"/>
      <c r="I72" s="5"/>
      <c r="J72" s="5"/>
    </row>
    <row r="73" spans="1:10" x14ac:dyDescent="0.25">
      <c r="A73" s="5"/>
      <c r="B73" s="844"/>
      <c r="C73" s="844"/>
      <c r="D73" s="844"/>
      <c r="E73" s="844"/>
      <c r="F73" s="844"/>
      <c r="G73" s="5"/>
      <c r="H73" s="5"/>
      <c r="I73" s="5"/>
      <c r="J73" s="5"/>
    </row>
    <row r="74" spans="1:10" x14ac:dyDescent="0.25">
      <c r="A74" s="5"/>
      <c r="B74" s="844"/>
      <c r="C74" s="844"/>
      <c r="D74" s="844"/>
      <c r="E74" s="844"/>
      <c r="F74" s="844"/>
      <c r="G74" s="5"/>
      <c r="H74" s="5"/>
      <c r="I74" s="5"/>
      <c r="J74" s="5"/>
    </row>
    <row r="75" spans="1:10" x14ac:dyDescent="0.25">
      <c r="A75" s="5"/>
      <c r="B75" s="844"/>
      <c r="C75" s="844"/>
      <c r="D75" s="844"/>
      <c r="E75" s="844"/>
      <c r="F75" s="844"/>
      <c r="G75" s="5"/>
      <c r="H75" s="5"/>
      <c r="I75" s="5"/>
      <c r="J75" s="5"/>
    </row>
    <row r="76" spans="1:10" x14ac:dyDescent="0.25">
      <c r="A76" s="5"/>
      <c r="B76" s="5"/>
      <c r="C76" s="5"/>
      <c r="D76" s="5"/>
      <c r="E76" s="5"/>
      <c r="F76" s="5"/>
      <c r="G76" s="5"/>
      <c r="H76" s="5"/>
      <c r="I76" s="5"/>
      <c r="J76" s="5"/>
    </row>
    <row r="77" spans="1:10" ht="14.25" customHeight="1" x14ac:dyDescent="0.25">
      <c r="A77" s="5"/>
      <c r="B77" s="437" t="s">
        <v>1363</v>
      </c>
      <c r="C77" s="430"/>
      <c r="D77" s="430"/>
      <c r="E77" s="430"/>
      <c r="F77" s="430"/>
      <c r="G77" s="5"/>
      <c r="H77" s="5"/>
      <c r="I77" s="5"/>
      <c r="J77" s="5"/>
    </row>
    <row r="78" spans="1:10" x14ac:dyDescent="0.25">
      <c r="A78" s="5"/>
      <c r="B78" s="430"/>
      <c r="C78" s="430"/>
      <c r="D78" s="430"/>
      <c r="E78" s="430"/>
      <c r="F78" s="430"/>
      <c r="G78" s="5"/>
      <c r="H78" s="5"/>
      <c r="I78" s="5"/>
      <c r="J78" s="5"/>
    </row>
    <row r="79" spans="1:10" x14ac:dyDescent="0.25">
      <c r="A79" s="5"/>
      <c r="B79" s="5"/>
      <c r="C79" s="5"/>
      <c r="D79" s="5"/>
      <c r="E79" s="5"/>
      <c r="F79" s="5"/>
      <c r="G79" s="5"/>
      <c r="H79" s="5"/>
      <c r="I79" s="5"/>
      <c r="J79" s="5"/>
    </row>
    <row r="80" spans="1:10" x14ac:dyDescent="0.25">
      <c r="A80" s="5"/>
      <c r="B80" s="5"/>
      <c r="C80" s="5"/>
      <c r="D80" s="5"/>
      <c r="E80" s="5"/>
      <c r="F80" s="5"/>
      <c r="G80" s="5"/>
      <c r="H80" s="5"/>
      <c r="I80" s="5"/>
      <c r="J80" s="5"/>
    </row>
    <row r="81" spans="1:10" x14ac:dyDescent="0.25">
      <c r="A81" s="5"/>
      <c r="B81" s="5"/>
      <c r="C81" s="5"/>
      <c r="D81" s="5"/>
      <c r="E81" s="5"/>
      <c r="F81" s="5"/>
      <c r="G81" s="5"/>
      <c r="H81" s="5"/>
      <c r="I81" s="5"/>
      <c r="J81" s="5"/>
    </row>
    <row r="82" spans="1:10" x14ac:dyDescent="0.25">
      <c r="A82" s="5"/>
      <c r="B82" s="5"/>
      <c r="C82" s="5"/>
      <c r="D82" s="5"/>
      <c r="E82" s="5"/>
      <c r="F82" s="5"/>
      <c r="G82" s="5"/>
      <c r="H82" s="5"/>
      <c r="I82" s="5"/>
      <c r="J82" s="5"/>
    </row>
    <row r="83" spans="1:10" x14ac:dyDescent="0.25">
      <c r="A83" s="5"/>
      <c r="B83" s="5"/>
      <c r="C83" s="5"/>
      <c r="D83" s="5"/>
      <c r="E83" s="5"/>
      <c r="F83" s="5"/>
      <c r="G83" s="5"/>
      <c r="H83" s="5"/>
      <c r="I83" s="5"/>
      <c r="J83" s="5"/>
    </row>
    <row r="84" spans="1:10" x14ac:dyDescent="0.25">
      <c r="A84" s="5"/>
      <c r="B84" s="5"/>
      <c r="C84" s="5"/>
      <c r="D84" s="5"/>
      <c r="E84" s="5"/>
      <c r="F84" s="5"/>
      <c r="G84" s="5"/>
      <c r="H84" s="5"/>
      <c r="I84" s="5"/>
      <c r="J84" s="5"/>
    </row>
    <row r="85" spans="1:10" x14ac:dyDescent="0.25">
      <c r="A85" s="5"/>
      <c r="B85" s="5"/>
      <c r="C85" s="5"/>
      <c r="D85" s="5"/>
      <c r="E85" s="5"/>
      <c r="F85" s="5"/>
      <c r="G85" s="5"/>
      <c r="H85" s="5"/>
      <c r="I85" s="5"/>
      <c r="J85" s="5"/>
    </row>
    <row r="86" spans="1:10" x14ac:dyDescent="0.25">
      <c r="A86" s="5"/>
      <c r="B86" s="5"/>
      <c r="C86" s="5"/>
      <c r="D86" s="5"/>
      <c r="E86" s="5"/>
      <c r="F86" s="5"/>
      <c r="G86" s="5"/>
      <c r="H86" s="5"/>
      <c r="I86" s="5"/>
      <c r="J86" s="5"/>
    </row>
    <row r="87" spans="1:10" ht="17.399999999999999" x14ac:dyDescent="0.3">
      <c r="A87" s="429" t="s">
        <v>1364</v>
      </c>
      <c r="B87" s="427"/>
      <c r="C87" s="427"/>
      <c r="D87" s="428"/>
      <c r="E87" s="428"/>
      <c r="F87" s="435"/>
      <c r="G87" s="436"/>
      <c r="H87" s="436"/>
      <c r="I87" s="436"/>
      <c r="J87" s="5"/>
    </row>
    <row r="88" spans="1:10" x14ac:dyDescent="0.25">
      <c r="A88" s="5"/>
      <c r="B88" s="5"/>
      <c r="C88" s="5"/>
      <c r="D88" s="5"/>
      <c r="E88" s="5"/>
      <c r="F88" s="5"/>
      <c r="G88" s="5"/>
      <c r="H88" s="5"/>
      <c r="I88" s="5"/>
      <c r="J88" s="5"/>
    </row>
    <row r="89" spans="1:10" ht="14.4" x14ac:dyDescent="0.25">
      <c r="A89" s="5"/>
      <c r="B89" s="442" t="s">
        <v>1204</v>
      </c>
      <c r="C89" s="440"/>
      <c r="D89" s="440"/>
      <c r="E89" s="440"/>
      <c r="F89" s="440"/>
      <c r="G89" s="5"/>
      <c r="H89" s="5"/>
      <c r="I89" s="5"/>
      <c r="J89" s="5"/>
    </row>
    <row r="90" spans="1:10" x14ac:dyDescent="0.25">
      <c r="A90" s="5"/>
      <c r="B90" s="441"/>
      <c r="C90" s="441"/>
      <c r="D90" s="441"/>
      <c r="E90" s="441"/>
      <c r="F90" s="441"/>
      <c r="G90" s="5"/>
      <c r="H90" s="5"/>
      <c r="I90" s="5"/>
      <c r="J90" s="5"/>
    </row>
    <row r="91" spans="1:10" ht="15" customHeight="1" x14ac:dyDescent="0.25">
      <c r="A91" s="5"/>
      <c r="B91" s="844" t="s">
        <v>1205</v>
      </c>
      <c r="C91" s="844"/>
      <c r="D91" s="844"/>
      <c r="E91" s="844"/>
      <c r="F91" s="844"/>
      <c r="G91" s="5"/>
      <c r="H91" s="5"/>
      <c r="I91" s="5"/>
      <c r="J91" s="5"/>
    </row>
    <row r="92" spans="1:10" x14ac:dyDescent="0.25">
      <c r="A92" s="5"/>
      <c r="B92" s="844"/>
      <c r="C92" s="844"/>
      <c r="D92" s="844"/>
      <c r="E92" s="844"/>
      <c r="F92" s="844"/>
      <c r="G92" s="5"/>
      <c r="H92" s="5"/>
      <c r="I92" s="5"/>
      <c r="J92" s="5"/>
    </row>
    <row r="93" spans="1:10" x14ac:dyDescent="0.25">
      <c r="A93" s="5"/>
      <c r="B93" s="844"/>
      <c r="C93" s="844"/>
      <c r="D93" s="844"/>
      <c r="E93" s="844"/>
      <c r="F93" s="844"/>
      <c r="G93" s="5"/>
      <c r="H93" s="5"/>
      <c r="I93" s="5"/>
      <c r="J93" s="5"/>
    </row>
    <row r="94" spans="1:10" x14ac:dyDescent="0.25">
      <c r="A94" s="5"/>
      <c r="B94" s="844"/>
      <c r="C94" s="844"/>
      <c r="D94" s="844"/>
      <c r="E94" s="844"/>
      <c r="F94" s="844"/>
      <c r="G94" s="5"/>
      <c r="H94" s="5"/>
      <c r="I94" s="5"/>
    </row>
    <row r="95" spans="1:10" x14ac:dyDescent="0.25">
      <c r="A95" s="5"/>
      <c r="B95" s="844"/>
      <c r="C95" s="844"/>
      <c r="D95" s="844"/>
      <c r="E95" s="844"/>
      <c r="F95" s="844"/>
      <c r="G95" s="5"/>
      <c r="H95" s="5"/>
      <c r="I95" s="5"/>
    </row>
    <row r="96" spans="1:10" x14ac:dyDescent="0.25">
      <c r="A96" s="5"/>
      <c r="B96" s="844"/>
      <c r="C96" s="844"/>
      <c r="D96" s="844"/>
      <c r="E96" s="844"/>
      <c r="F96" s="844"/>
      <c r="G96" s="5"/>
      <c r="H96" s="5"/>
      <c r="I96" s="5"/>
    </row>
    <row r="97" spans="1:9" x14ac:dyDescent="0.25">
      <c r="A97" s="5"/>
      <c r="B97" s="5"/>
      <c r="C97" s="5"/>
      <c r="D97" s="5"/>
      <c r="E97" s="5"/>
      <c r="F97" s="5"/>
      <c r="G97" s="5"/>
      <c r="H97" s="5"/>
      <c r="I97" s="5"/>
    </row>
    <row r="98" spans="1:9" ht="14.4" x14ac:dyDescent="0.25">
      <c r="A98" s="5"/>
      <c r="B98" s="884" t="s">
        <v>1206</v>
      </c>
      <c r="C98" s="884"/>
      <c r="D98" s="884"/>
      <c r="E98" s="884"/>
      <c r="F98" s="884"/>
      <c r="G98" s="5"/>
      <c r="H98" s="5"/>
      <c r="I98" s="5"/>
    </row>
    <row r="99" spans="1:9" ht="15" customHeight="1" x14ac:dyDescent="0.25">
      <c r="A99" s="5"/>
      <c r="B99" s="844"/>
      <c r="C99" s="844"/>
      <c r="D99" s="844"/>
      <c r="E99" s="844"/>
      <c r="F99" s="844"/>
      <c r="G99" s="5"/>
      <c r="H99" s="5"/>
      <c r="I99" s="5"/>
    </row>
    <row r="100" spans="1:9" x14ac:dyDescent="0.25">
      <c r="A100" s="5"/>
      <c r="B100" s="844"/>
      <c r="C100" s="844"/>
      <c r="D100" s="844"/>
      <c r="E100" s="844"/>
      <c r="F100" s="844"/>
      <c r="G100" s="5"/>
      <c r="H100" s="5"/>
      <c r="I100" s="5"/>
    </row>
    <row r="101" spans="1:9" x14ac:dyDescent="0.25">
      <c r="A101" s="5"/>
      <c r="B101" s="844"/>
      <c r="C101" s="844"/>
      <c r="D101" s="844"/>
      <c r="E101" s="844"/>
      <c r="F101" s="844"/>
      <c r="G101" s="5"/>
      <c r="H101" s="5"/>
      <c r="I101" s="5"/>
    </row>
    <row r="102" spans="1:9" x14ac:dyDescent="0.25">
      <c r="A102" s="5"/>
      <c r="B102" s="844"/>
      <c r="C102" s="844"/>
      <c r="D102" s="844"/>
      <c r="E102" s="844"/>
      <c r="F102" s="844"/>
      <c r="G102" s="5"/>
      <c r="H102" s="5"/>
      <c r="I102" s="5"/>
    </row>
    <row r="103" spans="1:9" x14ac:dyDescent="0.25">
      <c r="A103" s="5"/>
      <c r="B103" s="844"/>
      <c r="C103" s="844"/>
      <c r="D103" s="844"/>
      <c r="E103" s="844"/>
      <c r="F103" s="844"/>
      <c r="G103" s="5"/>
      <c r="H103" s="5"/>
      <c r="I103" s="5"/>
    </row>
    <row r="104" spans="1:9" x14ac:dyDescent="0.25">
      <c r="A104" s="5"/>
      <c r="B104" s="844"/>
      <c r="C104" s="844"/>
      <c r="D104" s="844"/>
      <c r="E104" s="844"/>
      <c r="F104" s="844"/>
      <c r="G104" s="5"/>
      <c r="H104" s="5"/>
      <c r="I104" s="5"/>
    </row>
    <row r="105" spans="1:9" x14ac:dyDescent="0.25">
      <c r="A105" s="5"/>
      <c r="B105" s="5"/>
      <c r="C105" s="5"/>
      <c r="D105" s="5"/>
      <c r="E105" s="5"/>
      <c r="F105" s="5"/>
      <c r="G105" s="5"/>
      <c r="H105" s="5"/>
      <c r="I105" s="5"/>
    </row>
    <row r="106" spans="1:9" x14ac:dyDescent="0.25">
      <c r="A106" s="5"/>
      <c r="B106" s="884" t="s">
        <v>1207</v>
      </c>
      <c r="C106" s="884"/>
      <c r="D106" s="884"/>
      <c r="E106" s="884"/>
      <c r="F106" s="884"/>
      <c r="G106" s="5"/>
      <c r="H106" s="5"/>
      <c r="I106" s="5"/>
    </row>
    <row r="107" spans="1:9" x14ac:dyDescent="0.25">
      <c r="A107" s="5"/>
      <c r="B107" s="884"/>
      <c r="C107" s="884"/>
      <c r="D107" s="884"/>
      <c r="E107" s="884"/>
      <c r="F107" s="884"/>
      <c r="G107" s="5"/>
      <c r="H107" s="5"/>
      <c r="I107" s="5"/>
    </row>
    <row r="108" spans="1:9" x14ac:dyDescent="0.25">
      <c r="A108" s="5"/>
      <c r="B108" s="5"/>
      <c r="C108" s="5"/>
      <c r="D108" s="5"/>
      <c r="E108" s="5"/>
      <c r="F108" s="5"/>
      <c r="G108" s="5"/>
      <c r="H108" s="5"/>
      <c r="I108" s="5"/>
    </row>
    <row r="109" spans="1:9" x14ac:dyDescent="0.25">
      <c r="A109" s="5"/>
      <c r="B109" s="884" t="s">
        <v>1208</v>
      </c>
      <c r="C109" s="884"/>
      <c r="D109" s="884"/>
      <c r="E109" s="884"/>
      <c r="F109" s="884"/>
      <c r="G109" s="5"/>
      <c r="H109" s="5"/>
      <c r="I109" s="5"/>
    </row>
    <row r="110" spans="1:9" x14ac:dyDescent="0.25">
      <c r="A110" s="5"/>
      <c r="B110" s="884"/>
      <c r="C110" s="884"/>
      <c r="D110" s="884"/>
      <c r="E110" s="884"/>
      <c r="F110" s="884"/>
      <c r="G110" s="5"/>
      <c r="H110" s="5"/>
      <c r="I110" s="5"/>
    </row>
    <row r="111" spans="1:9" ht="14.4" x14ac:dyDescent="0.25">
      <c r="A111" s="5"/>
      <c r="B111" s="421"/>
      <c r="C111" s="421"/>
      <c r="D111" s="421"/>
      <c r="E111" s="421"/>
      <c r="F111" s="421"/>
      <c r="G111" s="5"/>
      <c r="H111" s="5"/>
      <c r="I111" s="5"/>
    </row>
    <row r="112" spans="1:9" ht="14.4" x14ac:dyDescent="0.25">
      <c r="A112" s="5"/>
      <c r="B112" s="437" t="s">
        <v>1209</v>
      </c>
      <c r="C112" s="430"/>
      <c r="D112" s="430"/>
      <c r="E112" s="430"/>
      <c r="F112" s="430"/>
      <c r="G112" s="5"/>
      <c r="H112" s="5"/>
      <c r="I112" s="5"/>
    </row>
    <row r="113" spans="1:9" x14ac:dyDescent="0.25">
      <c r="A113" s="5"/>
      <c r="B113" s="430"/>
      <c r="C113" s="430"/>
      <c r="D113" s="430"/>
      <c r="E113" s="430"/>
      <c r="F113" s="430"/>
      <c r="G113" s="5"/>
      <c r="H113" s="5"/>
      <c r="I113" s="5"/>
    </row>
    <row r="114" spans="1:9" x14ac:dyDescent="0.25">
      <c r="A114" s="5"/>
      <c r="B114" s="443" t="s">
        <v>1210</v>
      </c>
      <c r="C114" s="431"/>
      <c r="D114" s="430"/>
      <c r="E114" s="430"/>
      <c r="F114" s="430"/>
      <c r="G114" s="5"/>
      <c r="H114" s="5"/>
      <c r="I114" s="5"/>
    </row>
    <row r="115" spans="1:9" x14ac:dyDescent="0.25">
      <c r="A115" s="5"/>
      <c r="B115" s="443" t="s">
        <v>1211</v>
      </c>
      <c r="C115" s="431"/>
      <c r="D115" s="430"/>
      <c r="E115" s="430"/>
      <c r="F115" s="430"/>
      <c r="G115" s="5"/>
      <c r="H115" s="5"/>
      <c r="I115" s="5"/>
    </row>
    <row r="116" spans="1:9" x14ac:dyDescent="0.25">
      <c r="A116" s="5"/>
      <c r="B116" s="443" t="s">
        <v>1212</v>
      </c>
      <c r="C116" s="431"/>
      <c r="D116" s="430"/>
      <c r="E116" s="430"/>
      <c r="F116" s="430"/>
      <c r="G116" s="5"/>
      <c r="H116" s="5"/>
      <c r="I116" s="5"/>
    </row>
    <row r="117" spans="1:9" x14ac:dyDescent="0.25">
      <c r="A117" s="5"/>
      <c r="B117" s="430"/>
      <c r="C117" s="430"/>
      <c r="D117" s="430"/>
      <c r="E117" s="430"/>
      <c r="F117" s="430"/>
      <c r="G117" s="5"/>
      <c r="H117" s="5"/>
      <c r="I117" s="5"/>
    </row>
    <row r="118" spans="1:9" x14ac:dyDescent="0.25">
      <c r="A118" s="5"/>
      <c r="B118" s="5"/>
      <c r="C118" s="5"/>
      <c r="D118" s="5"/>
      <c r="E118" s="5"/>
      <c r="F118" s="5"/>
      <c r="G118" s="5"/>
      <c r="H118" s="5"/>
      <c r="I118" s="5"/>
    </row>
    <row r="119" spans="1:9" x14ac:dyDescent="0.25">
      <c r="A119" s="5"/>
      <c r="B119" s="885" t="s">
        <v>1365</v>
      </c>
      <c r="C119" s="885"/>
      <c r="D119" s="885"/>
      <c r="E119" s="885"/>
      <c r="F119" s="885"/>
      <c r="G119" s="5"/>
      <c r="H119" s="5"/>
      <c r="I119" s="5"/>
    </row>
    <row r="120" spans="1:9" x14ac:dyDescent="0.25">
      <c r="A120" s="5"/>
      <c r="B120" s="885"/>
      <c r="C120" s="885"/>
      <c r="D120" s="885"/>
      <c r="E120" s="885"/>
      <c r="F120" s="885"/>
      <c r="G120" s="5"/>
      <c r="H120" s="5"/>
      <c r="I120" s="5"/>
    </row>
    <row r="121" spans="1:9" x14ac:dyDescent="0.25">
      <c r="A121" s="5"/>
      <c r="B121" s="885"/>
      <c r="C121" s="885"/>
      <c r="D121" s="885"/>
      <c r="E121" s="885"/>
      <c r="F121" s="885"/>
      <c r="G121" s="5"/>
      <c r="H121" s="5"/>
      <c r="I121" s="5"/>
    </row>
    <row r="122" spans="1:9" x14ac:dyDescent="0.25">
      <c r="A122" s="5"/>
      <c r="B122" s="885"/>
      <c r="C122" s="885"/>
      <c r="D122" s="885"/>
      <c r="E122" s="885"/>
      <c r="F122" s="885"/>
      <c r="G122" s="5"/>
      <c r="H122" s="5"/>
      <c r="I122" s="5"/>
    </row>
    <row r="123" spans="1:9" x14ac:dyDescent="0.25">
      <c r="A123" s="5"/>
      <c r="B123" s="885"/>
      <c r="C123" s="885"/>
      <c r="D123" s="885"/>
      <c r="E123" s="885"/>
      <c r="F123" s="885"/>
      <c r="G123" s="5"/>
      <c r="H123" s="5"/>
      <c r="I123" s="5"/>
    </row>
    <row r="124" spans="1:9" x14ac:dyDescent="0.25">
      <c r="A124" s="5"/>
      <c r="B124" s="885"/>
      <c r="C124" s="885"/>
      <c r="D124" s="885"/>
      <c r="E124" s="885"/>
      <c r="F124" s="885"/>
      <c r="G124" s="5"/>
      <c r="H124" s="5"/>
      <c r="I124" s="5"/>
    </row>
    <row r="125" spans="1:9" x14ac:dyDescent="0.25">
      <c r="A125" s="5"/>
      <c r="B125" s="885"/>
      <c r="C125" s="885"/>
      <c r="D125" s="885"/>
      <c r="E125" s="885"/>
      <c r="F125" s="885"/>
      <c r="G125" s="5"/>
      <c r="H125" s="5"/>
      <c r="I125" s="5"/>
    </row>
    <row r="126" spans="1:9" x14ac:dyDescent="0.25">
      <c r="A126" s="5"/>
      <c r="B126" s="885"/>
      <c r="C126" s="885"/>
      <c r="D126" s="885"/>
      <c r="E126" s="885"/>
      <c r="F126" s="885"/>
      <c r="G126" s="5"/>
      <c r="H126" s="5"/>
      <c r="I126" s="5"/>
    </row>
    <row r="127" spans="1:9" x14ac:dyDescent="0.25">
      <c r="A127" s="5"/>
      <c r="B127" s="885"/>
      <c r="C127" s="885"/>
      <c r="D127" s="885"/>
      <c r="E127" s="885"/>
      <c r="F127" s="885"/>
      <c r="G127" s="5"/>
      <c r="H127" s="5"/>
      <c r="I127" s="5"/>
    </row>
    <row r="128" spans="1:9" x14ac:dyDescent="0.25">
      <c r="A128" s="5"/>
      <c r="B128" s="885"/>
      <c r="C128" s="885"/>
      <c r="D128" s="885"/>
      <c r="E128" s="885"/>
      <c r="F128" s="885"/>
      <c r="G128" s="5"/>
      <c r="H128" s="5"/>
      <c r="I128" s="5"/>
    </row>
    <row r="129" spans="1:9" x14ac:dyDescent="0.25">
      <c r="A129" s="5"/>
      <c r="B129" s="885"/>
      <c r="C129" s="885"/>
      <c r="D129" s="885"/>
      <c r="E129" s="885"/>
      <c r="F129" s="885"/>
      <c r="G129" s="5"/>
      <c r="H129" s="5"/>
      <c r="I129" s="5"/>
    </row>
    <row r="130" spans="1:9" x14ac:dyDescent="0.25">
      <c r="A130" s="5"/>
      <c r="B130" s="885"/>
      <c r="C130" s="885"/>
      <c r="D130" s="885"/>
      <c r="E130" s="885"/>
      <c r="F130" s="885"/>
      <c r="G130" s="5"/>
      <c r="H130" s="5"/>
      <c r="I130" s="5"/>
    </row>
    <row r="131" spans="1:9" x14ac:dyDescent="0.25">
      <c r="A131" s="5"/>
      <c r="B131" s="885"/>
      <c r="C131" s="885"/>
      <c r="D131" s="885"/>
      <c r="E131" s="885"/>
      <c r="F131" s="885"/>
      <c r="G131" s="5"/>
      <c r="H131" s="5"/>
      <c r="I131" s="5"/>
    </row>
    <row r="132" spans="1:9" x14ac:dyDescent="0.25">
      <c r="A132" s="5"/>
      <c r="B132" s="885"/>
      <c r="C132" s="885"/>
      <c r="D132" s="885"/>
      <c r="E132" s="885"/>
      <c r="F132" s="885"/>
      <c r="G132" s="5"/>
      <c r="H132" s="5"/>
      <c r="I132" s="5"/>
    </row>
    <row r="133" spans="1:9" x14ac:dyDescent="0.25">
      <c r="A133" s="5"/>
      <c r="B133" s="885"/>
      <c r="C133" s="885"/>
      <c r="D133" s="885"/>
      <c r="E133" s="885"/>
      <c r="F133" s="885"/>
      <c r="G133" s="5"/>
      <c r="H133" s="5"/>
      <c r="I133" s="5"/>
    </row>
    <row r="134" spans="1:9" x14ac:dyDescent="0.25">
      <c r="A134" s="5"/>
      <c r="B134" s="885"/>
      <c r="C134" s="885"/>
      <c r="D134" s="885"/>
      <c r="E134" s="885"/>
      <c r="F134" s="885"/>
      <c r="G134" s="5"/>
      <c r="H134" s="5"/>
      <c r="I134" s="5"/>
    </row>
    <row r="135" spans="1:9" x14ac:dyDescent="0.25">
      <c r="A135" s="5"/>
      <c r="B135" s="885"/>
      <c r="C135" s="885"/>
      <c r="D135" s="885"/>
      <c r="E135" s="885"/>
      <c r="F135" s="885"/>
      <c r="G135" s="5"/>
      <c r="H135" s="5"/>
      <c r="I135" s="5"/>
    </row>
  </sheetData>
  <sheetProtection algorithmName="SHA-512" hashValue="kAcE5s39b54rlW8c23The/yg33nOz0h++3sBbOBmM8rEJvB0MOimsjjYLsCraKpHyFU4R4+90Gk8gsNkhavSSA==" saltValue="VoW2gJihVFCDZlLDmnqEBw==" spinCount="100000" sheet="1" objects="1" scenarios="1"/>
  <mergeCells count="12">
    <mergeCell ref="B119:F135"/>
    <mergeCell ref="B91:F96"/>
    <mergeCell ref="B43:F48"/>
    <mergeCell ref="B50:F51"/>
    <mergeCell ref="B52:F57"/>
    <mergeCell ref="B61:F66"/>
    <mergeCell ref="B70:F75"/>
    <mergeCell ref="B15:H16"/>
    <mergeCell ref="B98:F98"/>
    <mergeCell ref="B99:F104"/>
    <mergeCell ref="B106:F107"/>
    <mergeCell ref="B109:F110"/>
  </mergeCells>
  <dataValidations count="2">
    <dataValidation type="list" allowBlank="1" showInputMessage="1" showErrorMessage="1" sqref="H31:H39" xr:uid="{00000000-0002-0000-0E00-000000000000}">
      <formula1>"Family,Senior,PSH"</formula1>
    </dataValidation>
    <dataValidation type="list" allowBlank="1" showInputMessage="1" showErrorMessage="1" sqref="B18" xr:uid="{00000000-0002-0000-0E00-000001000000}">
      <formula1>"Yes,No"</formula1>
    </dataValidation>
  </dataValidations>
  <pageMargins left="0.25" right="0.25" top="0.75" bottom="0.75" header="0.3" footer="0.3"/>
  <pageSetup scale="51" fitToHeight="0" orientation="portrait" r:id="rId1"/>
  <rowBreaks count="1" manualBreakCount="1">
    <brk id="86"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1</xdr:col>
                    <xdr:colOff>38100</xdr:colOff>
                    <xdr:row>41</xdr:row>
                    <xdr:rowOff>7620</xdr:rowOff>
                  </from>
                  <to>
                    <xdr:col>1</xdr:col>
                    <xdr:colOff>845820</xdr:colOff>
                    <xdr:row>41</xdr:row>
                    <xdr:rowOff>220980</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1</xdr:col>
                    <xdr:colOff>495300</xdr:colOff>
                    <xdr:row>41</xdr:row>
                    <xdr:rowOff>22860</xdr:rowOff>
                  </from>
                  <to>
                    <xdr:col>1</xdr:col>
                    <xdr:colOff>1303020</xdr:colOff>
                    <xdr:row>41</xdr:row>
                    <xdr:rowOff>228600</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1</xdr:col>
                    <xdr:colOff>30480</xdr:colOff>
                    <xdr:row>50</xdr:row>
                    <xdr:rowOff>182880</xdr:rowOff>
                  </from>
                  <to>
                    <xdr:col>1</xdr:col>
                    <xdr:colOff>838200</xdr:colOff>
                    <xdr:row>50</xdr:row>
                    <xdr:rowOff>388620</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1</xdr:col>
                    <xdr:colOff>525780</xdr:colOff>
                    <xdr:row>50</xdr:row>
                    <xdr:rowOff>175260</xdr:rowOff>
                  </from>
                  <to>
                    <xdr:col>1</xdr:col>
                    <xdr:colOff>1333500</xdr:colOff>
                    <xdr:row>50</xdr:row>
                    <xdr:rowOff>381000</xdr:rowOff>
                  </to>
                </anchor>
              </controlPr>
            </control>
          </mc:Choice>
        </mc:AlternateContent>
        <mc:AlternateContent xmlns:mc="http://schemas.openxmlformats.org/markup-compatibility/2006">
          <mc:Choice Requires="x14">
            <control shapeId="46085" r:id="rId8" name="Check Box 5">
              <controlPr defaultSize="0" autoFill="0" autoLine="0" autoPict="0">
                <anchor moveWithCells="1">
                  <from>
                    <xdr:col>1</xdr:col>
                    <xdr:colOff>30480</xdr:colOff>
                    <xdr:row>58</xdr:row>
                    <xdr:rowOff>152400</xdr:rowOff>
                  </from>
                  <to>
                    <xdr:col>1</xdr:col>
                    <xdr:colOff>838200</xdr:colOff>
                    <xdr:row>59</xdr:row>
                    <xdr:rowOff>182880</xdr:rowOff>
                  </to>
                </anchor>
              </controlPr>
            </control>
          </mc:Choice>
        </mc:AlternateContent>
        <mc:AlternateContent xmlns:mc="http://schemas.openxmlformats.org/markup-compatibility/2006">
          <mc:Choice Requires="x14">
            <control shapeId="46086" r:id="rId9" name="Check Box 6">
              <controlPr defaultSize="0" autoFill="0" autoLine="0" autoPict="0">
                <anchor moveWithCells="1">
                  <from>
                    <xdr:col>1</xdr:col>
                    <xdr:colOff>487680</xdr:colOff>
                    <xdr:row>58</xdr:row>
                    <xdr:rowOff>152400</xdr:rowOff>
                  </from>
                  <to>
                    <xdr:col>1</xdr:col>
                    <xdr:colOff>1287780</xdr:colOff>
                    <xdr:row>59</xdr:row>
                    <xdr:rowOff>182880</xdr:rowOff>
                  </to>
                </anchor>
              </controlPr>
            </control>
          </mc:Choice>
        </mc:AlternateContent>
        <mc:AlternateContent xmlns:mc="http://schemas.openxmlformats.org/markup-compatibility/2006">
          <mc:Choice Requires="x14">
            <control shapeId="46087" r:id="rId10" name="Check Box 7">
              <controlPr defaultSize="0" autoFill="0" autoLine="0" autoPict="0">
                <anchor moveWithCells="1">
                  <from>
                    <xdr:col>1</xdr:col>
                    <xdr:colOff>60960</xdr:colOff>
                    <xdr:row>67</xdr:row>
                    <xdr:rowOff>152400</xdr:rowOff>
                  </from>
                  <to>
                    <xdr:col>1</xdr:col>
                    <xdr:colOff>868680</xdr:colOff>
                    <xdr:row>69</xdr:row>
                    <xdr:rowOff>0</xdr:rowOff>
                  </to>
                </anchor>
              </controlPr>
            </control>
          </mc:Choice>
        </mc:AlternateContent>
        <mc:AlternateContent xmlns:mc="http://schemas.openxmlformats.org/markup-compatibility/2006">
          <mc:Choice Requires="x14">
            <control shapeId="46088" r:id="rId11" name="Check Box 8">
              <controlPr defaultSize="0" autoFill="0" autoLine="0" autoPict="0">
                <anchor moveWithCells="1">
                  <from>
                    <xdr:col>1</xdr:col>
                    <xdr:colOff>556260</xdr:colOff>
                    <xdr:row>67</xdr:row>
                    <xdr:rowOff>152400</xdr:rowOff>
                  </from>
                  <to>
                    <xdr:col>1</xdr:col>
                    <xdr:colOff>1356360</xdr:colOff>
                    <xdr:row>69</xdr:row>
                    <xdr:rowOff>0</xdr:rowOff>
                  </to>
                </anchor>
              </controlPr>
            </control>
          </mc:Choice>
        </mc:AlternateContent>
        <mc:AlternateContent xmlns:mc="http://schemas.openxmlformats.org/markup-compatibility/2006">
          <mc:Choice Requires="x14">
            <control shapeId="46089" r:id="rId12" name="Check Box 9">
              <controlPr defaultSize="0" autoFill="0" autoLine="0" autoPict="0">
                <anchor moveWithCells="1">
                  <from>
                    <xdr:col>1</xdr:col>
                    <xdr:colOff>60960</xdr:colOff>
                    <xdr:row>78</xdr:row>
                    <xdr:rowOff>7620</xdr:rowOff>
                  </from>
                  <to>
                    <xdr:col>2</xdr:col>
                    <xdr:colOff>1127760</xdr:colOff>
                    <xdr:row>79</xdr:row>
                    <xdr:rowOff>30480</xdr:rowOff>
                  </to>
                </anchor>
              </controlPr>
            </control>
          </mc:Choice>
        </mc:AlternateContent>
        <mc:AlternateContent xmlns:mc="http://schemas.openxmlformats.org/markup-compatibility/2006">
          <mc:Choice Requires="x14">
            <control shapeId="46090" r:id="rId13" name="Check Box 10">
              <controlPr defaultSize="0" autoFill="0" autoLine="0" autoPict="0">
                <anchor moveWithCells="1">
                  <from>
                    <xdr:col>1</xdr:col>
                    <xdr:colOff>60960</xdr:colOff>
                    <xdr:row>79</xdr:row>
                    <xdr:rowOff>7620</xdr:rowOff>
                  </from>
                  <to>
                    <xdr:col>2</xdr:col>
                    <xdr:colOff>1127760</xdr:colOff>
                    <xdr:row>80</xdr:row>
                    <xdr:rowOff>30480</xdr:rowOff>
                  </to>
                </anchor>
              </controlPr>
            </control>
          </mc:Choice>
        </mc:AlternateContent>
        <mc:AlternateContent xmlns:mc="http://schemas.openxmlformats.org/markup-compatibility/2006">
          <mc:Choice Requires="x14">
            <control shapeId="46091" r:id="rId14" name="Check Box 11">
              <controlPr defaultSize="0" autoFill="0" autoLine="0" autoPict="0">
                <anchor moveWithCells="1">
                  <from>
                    <xdr:col>1</xdr:col>
                    <xdr:colOff>60960</xdr:colOff>
                    <xdr:row>80</xdr:row>
                    <xdr:rowOff>7620</xdr:rowOff>
                  </from>
                  <to>
                    <xdr:col>2</xdr:col>
                    <xdr:colOff>1127760</xdr:colOff>
                    <xdr:row>81</xdr:row>
                    <xdr:rowOff>22860</xdr:rowOff>
                  </to>
                </anchor>
              </controlPr>
            </control>
          </mc:Choice>
        </mc:AlternateContent>
        <mc:AlternateContent xmlns:mc="http://schemas.openxmlformats.org/markup-compatibility/2006">
          <mc:Choice Requires="x14">
            <control shapeId="46092" r:id="rId15" name="Check Box 12">
              <controlPr defaultSize="0" autoFill="0" autoLine="0" autoPict="0">
                <anchor moveWithCells="1">
                  <from>
                    <xdr:col>1</xdr:col>
                    <xdr:colOff>60960</xdr:colOff>
                    <xdr:row>80</xdr:row>
                    <xdr:rowOff>182880</xdr:rowOff>
                  </from>
                  <to>
                    <xdr:col>2</xdr:col>
                    <xdr:colOff>1127760</xdr:colOff>
                    <xdr:row>82</xdr:row>
                    <xdr:rowOff>22860</xdr:rowOff>
                  </to>
                </anchor>
              </controlPr>
            </control>
          </mc:Choice>
        </mc:AlternateContent>
        <mc:AlternateContent xmlns:mc="http://schemas.openxmlformats.org/markup-compatibility/2006">
          <mc:Choice Requires="x14">
            <control shapeId="46093" r:id="rId16" name="Check Box 13">
              <controlPr defaultSize="0" autoFill="0" autoLine="0" autoPict="0">
                <anchor moveWithCells="1">
                  <from>
                    <xdr:col>1</xdr:col>
                    <xdr:colOff>60960</xdr:colOff>
                    <xdr:row>81</xdr:row>
                    <xdr:rowOff>175260</xdr:rowOff>
                  </from>
                  <to>
                    <xdr:col>2</xdr:col>
                    <xdr:colOff>1127760</xdr:colOff>
                    <xdr:row>83</xdr:row>
                    <xdr:rowOff>7620</xdr:rowOff>
                  </to>
                </anchor>
              </controlPr>
            </control>
          </mc:Choice>
        </mc:AlternateContent>
        <mc:AlternateContent xmlns:mc="http://schemas.openxmlformats.org/markup-compatibility/2006">
          <mc:Choice Requires="x14">
            <control shapeId="46094" r:id="rId17" name="Check Box 14">
              <controlPr defaultSize="0" autoFill="0" autoLine="0" autoPict="0" altText="Specialist in Housing Credit Management (SHCM)">
                <anchor moveWithCells="1">
                  <from>
                    <xdr:col>1</xdr:col>
                    <xdr:colOff>60960</xdr:colOff>
                    <xdr:row>82</xdr:row>
                    <xdr:rowOff>152400</xdr:rowOff>
                  </from>
                  <to>
                    <xdr:col>2</xdr:col>
                    <xdr:colOff>1127760</xdr:colOff>
                    <xdr:row>84</xdr:row>
                    <xdr:rowOff>7620</xdr:rowOff>
                  </to>
                </anchor>
              </controlPr>
            </control>
          </mc:Choice>
        </mc:AlternateContent>
        <mc:AlternateContent xmlns:mc="http://schemas.openxmlformats.org/markup-compatibility/2006">
          <mc:Choice Requires="x14">
            <control shapeId="46095" r:id="rId18" name="Check Box 15">
              <controlPr defaultSize="0" autoFill="0" autoLine="0" autoPict="0">
                <anchor moveWithCells="1">
                  <from>
                    <xdr:col>1</xdr:col>
                    <xdr:colOff>60960</xdr:colOff>
                    <xdr:row>83</xdr:row>
                    <xdr:rowOff>152400</xdr:rowOff>
                  </from>
                  <to>
                    <xdr:col>2</xdr:col>
                    <xdr:colOff>1127760</xdr:colOff>
                    <xdr:row>85</xdr:row>
                    <xdr:rowOff>22860</xdr:rowOff>
                  </to>
                </anchor>
              </controlPr>
            </control>
          </mc:Choice>
        </mc:AlternateContent>
        <mc:AlternateContent xmlns:mc="http://schemas.openxmlformats.org/markup-compatibility/2006">
          <mc:Choice Requires="x14">
            <control shapeId="46096" r:id="rId19" name="Check Box 16">
              <controlPr defaultSize="0" autoFill="0" autoLine="0" autoPict="0">
                <anchor moveWithCells="1">
                  <from>
                    <xdr:col>1</xdr:col>
                    <xdr:colOff>60960</xdr:colOff>
                    <xdr:row>88</xdr:row>
                    <xdr:rowOff>152400</xdr:rowOff>
                  </from>
                  <to>
                    <xdr:col>1</xdr:col>
                    <xdr:colOff>868680</xdr:colOff>
                    <xdr:row>90</xdr:row>
                    <xdr:rowOff>0</xdr:rowOff>
                  </to>
                </anchor>
              </controlPr>
            </control>
          </mc:Choice>
        </mc:AlternateContent>
        <mc:AlternateContent xmlns:mc="http://schemas.openxmlformats.org/markup-compatibility/2006">
          <mc:Choice Requires="x14">
            <control shapeId="46097" r:id="rId20" name="Check Box 17">
              <controlPr defaultSize="0" autoFill="0" autoLine="0" autoPict="0">
                <anchor moveWithCells="1">
                  <from>
                    <xdr:col>1</xdr:col>
                    <xdr:colOff>487680</xdr:colOff>
                    <xdr:row>88</xdr:row>
                    <xdr:rowOff>152400</xdr:rowOff>
                  </from>
                  <to>
                    <xdr:col>1</xdr:col>
                    <xdr:colOff>1287780</xdr:colOff>
                    <xdr:row>90</xdr:row>
                    <xdr:rowOff>0</xdr:rowOff>
                  </to>
                </anchor>
              </controlPr>
            </control>
          </mc:Choice>
        </mc:AlternateContent>
        <mc:AlternateContent xmlns:mc="http://schemas.openxmlformats.org/markup-compatibility/2006">
          <mc:Choice Requires="x14">
            <control shapeId="46098" r:id="rId21" name="Check Box 18">
              <controlPr defaultSize="0" autoFill="0" autoLine="0" autoPict="0">
                <anchor moveWithCells="1">
                  <from>
                    <xdr:col>1</xdr:col>
                    <xdr:colOff>7620</xdr:colOff>
                    <xdr:row>105</xdr:row>
                    <xdr:rowOff>160020</xdr:rowOff>
                  </from>
                  <to>
                    <xdr:col>1</xdr:col>
                    <xdr:colOff>822960</xdr:colOff>
                    <xdr:row>107</xdr:row>
                    <xdr:rowOff>7620</xdr:rowOff>
                  </to>
                </anchor>
              </controlPr>
            </control>
          </mc:Choice>
        </mc:AlternateContent>
        <mc:AlternateContent xmlns:mc="http://schemas.openxmlformats.org/markup-compatibility/2006">
          <mc:Choice Requires="x14">
            <control shapeId="46099" r:id="rId22" name="Check Box 19">
              <controlPr defaultSize="0" autoFill="0" autoLine="0" autoPict="0">
                <anchor moveWithCells="1">
                  <from>
                    <xdr:col>1</xdr:col>
                    <xdr:colOff>533400</xdr:colOff>
                    <xdr:row>105</xdr:row>
                    <xdr:rowOff>160020</xdr:rowOff>
                  </from>
                  <to>
                    <xdr:col>1</xdr:col>
                    <xdr:colOff>1341120</xdr:colOff>
                    <xdr:row>107</xdr:row>
                    <xdr:rowOff>7620</xdr:rowOff>
                  </to>
                </anchor>
              </controlPr>
            </control>
          </mc:Choice>
        </mc:AlternateContent>
        <mc:AlternateContent xmlns:mc="http://schemas.openxmlformats.org/markup-compatibility/2006">
          <mc:Choice Requires="x14">
            <control shapeId="46100" r:id="rId23" name="Check Box 20">
              <controlPr defaultSize="0" autoFill="0" autoLine="0" autoPict="0">
                <anchor moveWithCells="1">
                  <from>
                    <xdr:col>1</xdr:col>
                    <xdr:colOff>38100</xdr:colOff>
                    <xdr:row>108</xdr:row>
                    <xdr:rowOff>175260</xdr:rowOff>
                  </from>
                  <to>
                    <xdr:col>1</xdr:col>
                    <xdr:colOff>845820</xdr:colOff>
                    <xdr:row>110</xdr:row>
                    <xdr:rowOff>22860</xdr:rowOff>
                  </to>
                </anchor>
              </controlPr>
            </control>
          </mc:Choice>
        </mc:AlternateContent>
        <mc:AlternateContent xmlns:mc="http://schemas.openxmlformats.org/markup-compatibility/2006">
          <mc:Choice Requires="x14">
            <control shapeId="46101" r:id="rId24" name="Check Box 21">
              <controlPr defaultSize="0" autoFill="0" autoLine="0" autoPict="0">
                <anchor moveWithCells="1">
                  <from>
                    <xdr:col>1</xdr:col>
                    <xdr:colOff>533400</xdr:colOff>
                    <xdr:row>108</xdr:row>
                    <xdr:rowOff>175260</xdr:rowOff>
                  </from>
                  <to>
                    <xdr:col>1</xdr:col>
                    <xdr:colOff>1341120</xdr:colOff>
                    <xdr:row>110</xdr:row>
                    <xdr:rowOff>22860</xdr:rowOff>
                  </to>
                </anchor>
              </controlPr>
            </control>
          </mc:Choice>
        </mc:AlternateContent>
        <mc:AlternateContent xmlns:mc="http://schemas.openxmlformats.org/markup-compatibility/2006">
          <mc:Choice Requires="x14">
            <control shapeId="46102" r:id="rId25" name="Check Box 22">
              <controlPr defaultSize="0" autoFill="0" autoLine="0" autoPict="0">
                <anchor moveWithCells="1">
                  <from>
                    <xdr:col>1</xdr:col>
                    <xdr:colOff>0</xdr:colOff>
                    <xdr:row>111</xdr:row>
                    <xdr:rowOff>160020</xdr:rowOff>
                  </from>
                  <to>
                    <xdr:col>1</xdr:col>
                    <xdr:colOff>807720</xdr:colOff>
                    <xdr:row>113</xdr:row>
                    <xdr:rowOff>7620</xdr:rowOff>
                  </to>
                </anchor>
              </controlPr>
            </control>
          </mc:Choice>
        </mc:AlternateContent>
        <mc:AlternateContent xmlns:mc="http://schemas.openxmlformats.org/markup-compatibility/2006">
          <mc:Choice Requires="x14">
            <control shapeId="46103" r:id="rId26" name="Check Box 23">
              <controlPr defaultSize="0" autoFill="0" autoLine="0" autoPict="0">
                <anchor moveWithCells="1">
                  <from>
                    <xdr:col>1</xdr:col>
                    <xdr:colOff>525780</xdr:colOff>
                    <xdr:row>111</xdr:row>
                    <xdr:rowOff>160020</xdr:rowOff>
                  </from>
                  <to>
                    <xdr:col>1</xdr:col>
                    <xdr:colOff>1333500</xdr:colOff>
                    <xdr:row>113</xdr:row>
                    <xdr:rowOff>7620</xdr:rowOff>
                  </to>
                </anchor>
              </controlPr>
            </control>
          </mc:Choice>
        </mc:AlternateContent>
        <mc:AlternateContent xmlns:mc="http://schemas.openxmlformats.org/markup-compatibility/2006">
          <mc:Choice Requires="x14">
            <control shapeId="46105" r:id="rId27" name="Check Box 25">
              <controlPr defaultSize="0" autoFill="0" autoLine="0" autoPict="0">
                <anchor moveWithCells="1">
                  <from>
                    <xdr:col>1</xdr:col>
                    <xdr:colOff>60960</xdr:colOff>
                    <xdr:row>77</xdr:row>
                    <xdr:rowOff>7620</xdr:rowOff>
                  </from>
                  <to>
                    <xdr:col>2</xdr:col>
                    <xdr:colOff>1127760</xdr:colOff>
                    <xdr:row>78</xdr:row>
                    <xdr:rowOff>30480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pageSetUpPr fitToPage="1"/>
  </sheetPr>
  <dimension ref="A1:S48"/>
  <sheetViews>
    <sheetView zoomScale="85" zoomScaleNormal="85" zoomScaleSheetLayoutView="85" zoomScalePageLayoutView="55" workbookViewId="0">
      <selection activeCell="E5" sqref="E5"/>
    </sheetView>
  </sheetViews>
  <sheetFormatPr defaultColWidth="9" defaultRowHeight="13.8" x14ac:dyDescent="0.25"/>
  <cols>
    <col min="1" max="15" width="9" style="5"/>
    <col min="16" max="16" width="14.3984375" style="5" customWidth="1"/>
    <col min="17" max="16384" width="9" style="5"/>
  </cols>
  <sheetData>
    <row r="1" spans="1:19" ht="54.9" customHeight="1" x14ac:dyDescent="0.25"/>
    <row r="2" spans="1:19" s="240" customFormat="1" ht="23.4" x14ac:dyDescent="0.4">
      <c r="A2" s="3" t="s">
        <v>1</v>
      </c>
      <c r="B2" s="1"/>
      <c r="C2" s="1"/>
      <c r="D2" s="1"/>
      <c r="E2" s="1"/>
      <c r="F2" s="1"/>
      <c r="G2" s="1"/>
      <c r="H2" s="1"/>
      <c r="I2" s="1"/>
      <c r="J2" s="1"/>
      <c r="K2" s="1"/>
      <c r="L2" s="1"/>
      <c r="M2" s="1"/>
      <c r="N2" s="1"/>
      <c r="O2" s="1"/>
      <c r="P2" s="258"/>
    </row>
    <row r="3" spans="1:19" s="83" customFormat="1" ht="15" x14ac:dyDescent="0.25">
      <c r="A3" s="4" t="s">
        <v>1108</v>
      </c>
      <c r="B3" s="35">
        <f>'Project Details'!C7</f>
        <v>0</v>
      </c>
      <c r="C3" s="35"/>
      <c r="D3" s="2"/>
      <c r="E3" s="2"/>
      <c r="F3" s="2"/>
      <c r="G3" s="2"/>
      <c r="H3" s="2"/>
      <c r="I3" s="2"/>
      <c r="J3" s="2"/>
      <c r="K3" s="2"/>
      <c r="L3" s="2"/>
      <c r="M3" s="2"/>
      <c r="N3" s="2"/>
      <c r="O3" s="2"/>
      <c r="P3" s="257"/>
    </row>
    <row r="4" spans="1:19" ht="29.25" customHeight="1" x14ac:dyDescent="0.25">
      <c r="A4" s="887" t="s">
        <v>1017</v>
      </c>
      <c r="B4" s="887"/>
      <c r="C4" s="887"/>
      <c r="D4" s="887"/>
      <c r="E4" s="887"/>
      <c r="F4" s="887"/>
      <c r="G4" s="887"/>
      <c r="H4" s="887"/>
      <c r="I4" s="887"/>
      <c r="J4" s="887"/>
      <c r="K4" s="887"/>
      <c r="L4" s="887"/>
      <c r="M4" s="887"/>
      <c r="N4" s="887"/>
      <c r="O4" s="887"/>
      <c r="P4" s="887"/>
    </row>
    <row r="6" spans="1:19" ht="356.25" customHeight="1" x14ac:dyDescent="0.25">
      <c r="A6" s="688" t="s">
        <v>1345</v>
      </c>
      <c r="B6" s="688"/>
      <c r="C6" s="688"/>
      <c r="D6" s="688"/>
      <c r="E6" s="688"/>
      <c r="F6" s="688"/>
      <c r="G6" s="688"/>
      <c r="H6" s="688"/>
      <c r="I6" s="688"/>
      <c r="J6" s="688"/>
      <c r="K6" s="688"/>
      <c r="L6" s="688"/>
      <c r="M6" s="688"/>
      <c r="N6" s="688"/>
      <c r="O6" s="688"/>
      <c r="P6" s="688"/>
    </row>
    <row r="7" spans="1:19" x14ac:dyDescent="0.25">
      <c r="A7" s="20"/>
      <c r="B7" s="20"/>
      <c r="C7" s="20"/>
      <c r="D7" s="20"/>
      <c r="E7" s="20"/>
      <c r="F7" s="20"/>
      <c r="G7" s="20"/>
      <c r="H7" s="20"/>
      <c r="I7" s="20"/>
      <c r="J7" s="20"/>
      <c r="K7" s="20"/>
      <c r="L7" s="20"/>
      <c r="M7" s="20"/>
      <c r="N7" s="20"/>
      <c r="O7" s="20"/>
      <c r="P7" s="20"/>
      <c r="Q7" s="20"/>
      <c r="R7" s="20"/>
      <c r="S7" s="20"/>
    </row>
    <row r="8" spans="1:19" ht="258" customHeight="1" x14ac:dyDescent="0.25">
      <c r="A8" s="688" t="s">
        <v>1648</v>
      </c>
      <c r="B8" s="688"/>
      <c r="C8" s="688"/>
      <c r="D8" s="688"/>
      <c r="E8" s="688"/>
      <c r="F8" s="688"/>
      <c r="G8" s="688"/>
      <c r="H8" s="688"/>
      <c r="I8" s="688"/>
      <c r="J8" s="688"/>
      <c r="K8" s="688"/>
      <c r="L8" s="688"/>
      <c r="M8" s="688"/>
      <c r="N8" s="688"/>
      <c r="O8" s="688"/>
      <c r="P8" s="688"/>
    </row>
    <row r="10" spans="1:19" ht="15" x14ac:dyDescent="0.25">
      <c r="A10" s="395" t="s">
        <v>826</v>
      </c>
      <c r="B10" s="398"/>
      <c r="C10" s="398"/>
      <c r="D10" s="398"/>
      <c r="E10" s="398"/>
      <c r="F10" s="398"/>
      <c r="G10" s="398"/>
      <c r="H10" s="398"/>
      <c r="I10" s="398"/>
      <c r="J10" s="398"/>
      <c r="K10" s="398"/>
      <c r="L10" s="398"/>
      <c r="M10" s="398"/>
      <c r="N10" s="398"/>
      <c r="O10" s="398"/>
      <c r="P10" s="395"/>
    </row>
    <row r="11" spans="1:19" ht="15" x14ac:dyDescent="0.25">
      <c r="A11" s="398"/>
      <c r="B11" s="398"/>
      <c r="C11" s="398"/>
      <c r="D11" s="398"/>
      <c r="E11" s="398"/>
      <c r="F11" s="398"/>
      <c r="G11" s="398"/>
      <c r="H11" s="398"/>
      <c r="I11" s="398"/>
      <c r="J11" s="398"/>
      <c r="K11" s="398"/>
      <c r="L11" s="398"/>
      <c r="M11" s="398"/>
      <c r="N11" s="398"/>
      <c r="O11" s="398"/>
      <c r="P11" s="395"/>
    </row>
    <row r="12" spans="1:19" s="138" customFormat="1" ht="15" x14ac:dyDescent="0.25">
      <c r="A12" s="398"/>
      <c r="B12" s="399" t="s">
        <v>827</v>
      </c>
      <c r="C12" s="397"/>
      <c r="D12" s="399" t="s">
        <v>828</v>
      </c>
      <c r="E12" s="397"/>
      <c r="F12" s="395" t="s">
        <v>833</v>
      </c>
      <c r="G12" s="395"/>
      <c r="H12" s="395"/>
      <c r="I12" s="395"/>
      <c r="J12" s="398"/>
      <c r="K12" s="398"/>
      <c r="L12" s="398"/>
      <c r="M12" s="398"/>
      <c r="N12" s="398"/>
      <c r="O12" s="398"/>
      <c r="P12" s="395"/>
    </row>
    <row r="13" spans="1:19" s="138" customFormat="1" ht="15" x14ac:dyDescent="0.25">
      <c r="A13" s="398"/>
      <c r="B13" s="395"/>
      <c r="C13" s="395"/>
      <c r="D13" s="395"/>
      <c r="E13" s="395"/>
      <c r="F13" s="395"/>
      <c r="G13" s="395"/>
      <c r="H13" s="395"/>
      <c r="I13" s="395"/>
      <c r="J13" s="398"/>
      <c r="K13" s="398"/>
      <c r="L13" s="398"/>
      <c r="M13" s="398"/>
      <c r="N13" s="398"/>
      <c r="O13" s="398"/>
      <c r="P13" s="395"/>
    </row>
    <row r="14" spans="1:19" s="138" customFormat="1" ht="15" x14ac:dyDescent="0.25">
      <c r="A14" s="398"/>
      <c r="B14" s="395"/>
      <c r="C14" s="397"/>
      <c r="D14" s="397"/>
      <c r="E14" s="397"/>
      <c r="F14" s="397"/>
      <c r="G14" s="397"/>
      <c r="H14" s="395"/>
      <c r="I14" s="395"/>
      <c r="J14" s="398"/>
      <c r="K14" s="398"/>
      <c r="L14" s="398"/>
      <c r="M14" s="398"/>
      <c r="N14" s="398"/>
      <c r="O14" s="398"/>
      <c r="P14" s="395"/>
    </row>
    <row r="15" spans="1:19" s="138" customFormat="1" ht="15" x14ac:dyDescent="0.25">
      <c r="A15" s="398"/>
      <c r="B15" s="395"/>
      <c r="C15" s="395" t="s">
        <v>829</v>
      </c>
      <c r="D15" s="395"/>
      <c r="E15" s="395"/>
      <c r="F15" s="395"/>
      <c r="G15" s="395"/>
      <c r="H15" s="395"/>
      <c r="I15" s="395"/>
      <c r="J15" s="398"/>
      <c r="K15" s="398"/>
      <c r="L15" s="398"/>
      <c r="M15" s="398"/>
      <c r="N15" s="398"/>
      <c r="O15" s="398"/>
      <c r="P15" s="395"/>
    </row>
    <row r="16" spans="1:19" s="138" customFormat="1" ht="15" x14ac:dyDescent="0.25">
      <c r="A16" s="398"/>
      <c r="B16" s="398"/>
      <c r="C16" s="398"/>
      <c r="D16" s="398"/>
      <c r="E16" s="398"/>
      <c r="F16" s="398"/>
      <c r="G16" s="398"/>
      <c r="H16" s="398"/>
      <c r="I16" s="398"/>
      <c r="J16" s="398"/>
      <c r="K16" s="398"/>
      <c r="L16" s="398"/>
      <c r="M16" s="398"/>
      <c r="N16" s="398"/>
      <c r="O16" s="398"/>
      <c r="P16" s="395"/>
    </row>
    <row r="17" spans="1:16" s="138" customFormat="1" x14ac:dyDescent="0.25">
      <c r="P17" s="197"/>
    </row>
    <row r="18" spans="1:16" s="138" customFormat="1" x14ac:dyDescent="0.25">
      <c r="A18" s="395"/>
      <c r="B18" s="395"/>
      <c r="C18" s="395"/>
      <c r="D18" s="395"/>
      <c r="E18" s="395"/>
      <c r="F18" s="395"/>
      <c r="G18" s="395"/>
      <c r="H18" s="395"/>
      <c r="I18" s="395"/>
      <c r="J18" s="395"/>
      <c r="K18" s="395"/>
      <c r="L18" s="395"/>
      <c r="M18" s="395"/>
      <c r="N18" s="395"/>
      <c r="O18" s="395"/>
      <c r="P18" s="395"/>
    </row>
    <row r="19" spans="1:16" s="138" customFormat="1" x14ac:dyDescent="0.25">
      <c r="A19" s="396"/>
      <c r="B19" s="395" t="s">
        <v>830</v>
      </c>
      <c r="C19" s="397"/>
      <c r="D19" s="397"/>
      <c r="E19" s="397"/>
      <c r="F19" s="397"/>
      <c r="G19" s="397"/>
      <c r="H19" s="395"/>
      <c r="I19" s="395" t="s">
        <v>830</v>
      </c>
      <c r="J19" s="397"/>
      <c r="K19" s="397"/>
      <c r="L19" s="397"/>
      <c r="M19" s="397"/>
      <c r="N19" s="397"/>
      <c r="O19" s="395"/>
      <c r="P19" s="395"/>
    </row>
    <row r="20" spans="1:16" s="138" customFormat="1" x14ac:dyDescent="0.25">
      <c r="A20" s="396"/>
      <c r="B20" s="395"/>
      <c r="C20" s="395" t="s">
        <v>831</v>
      </c>
      <c r="D20" s="395"/>
      <c r="E20" s="395"/>
      <c r="F20" s="395"/>
      <c r="G20" s="395"/>
      <c r="H20" s="395"/>
      <c r="I20" s="395"/>
      <c r="J20" s="395" t="s">
        <v>831</v>
      </c>
      <c r="K20" s="395"/>
      <c r="L20" s="395"/>
      <c r="M20" s="395"/>
      <c r="N20" s="395"/>
      <c r="O20" s="395"/>
      <c r="P20" s="395"/>
    </row>
    <row r="21" spans="1:16" s="138" customFormat="1" x14ac:dyDescent="0.25">
      <c r="A21" s="396"/>
      <c r="B21" s="395"/>
      <c r="C21" s="395"/>
      <c r="D21" s="395"/>
      <c r="E21" s="395"/>
      <c r="F21" s="395"/>
      <c r="G21" s="395"/>
      <c r="H21" s="395"/>
      <c r="I21" s="395"/>
      <c r="J21" s="395"/>
      <c r="K21" s="395"/>
      <c r="L21" s="395"/>
      <c r="M21" s="395"/>
      <c r="N21" s="395"/>
      <c r="O21" s="395"/>
      <c r="P21" s="395"/>
    </row>
    <row r="22" spans="1:16" s="138" customFormat="1" x14ac:dyDescent="0.25">
      <c r="A22" s="396"/>
      <c r="B22" s="395"/>
      <c r="C22" s="397"/>
      <c r="D22" s="397"/>
      <c r="E22" s="397"/>
      <c r="F22" s="397"/>
      <c r="G22" s="397"/>
      <c r="H22" s="395"/>
      <c r="I22" s="395"/>
      <c r="J22" s="397"/>
      <c r="K22" s="397"/>
      <c r="L22" s="397"/>
      <c r="M22" s="397"/>
      <c r="N22" s="397"/>
      <c r="O22" s="395"/>
      <c r="P22" s="395"/>
    </row>
    <row r="23" spans="1:16" s="138" customFormat="1" x14ac:dyDescent="0.25">
      <c r="A23" s="396"/>
      <c r="B23" s="395"/>
      <c r="C23" s="395" t="s">
        <v>832</v>
      </c>
      <c r="D23" s="395"/>
      <c r="E23" s="395"/>
      <c r="F23" s="395"/>
      <c r="G23" s="395"/>
      <c r="H23" s="395"/>
      <c r="I23" s="395"/>
      <c r="J23" s="395" t="s">
        <v>832</v>
      </c>
      <c r="K23" s="395"/>
      <c r="L23" s="395"/>
      <c r="M23" s="395"/>
      <c r="N23" s="395"/>
      <c r="O23" s="395"/>
      <c r="P23" s="395"/>
    </row>
    <row r="24" spans="1:16" s="138" customFormat="1" x14ac:dyDescent="0.25">
      <c r="A24" s="396"/>
      <c r="B24" s="395"/>
      <c r="C24" s="395"/>
      <c r="D24" s="395"/>
      <c r="E24" s="395"/>
      <c r="F24" s="395"/>
      <c r="G24" s="395"/>
      <c r="H24" s="395"/>
      <c r="I24" s="395"/>
      <c r="J24" s="395"/>
      <c r="K24" s="395"/>
      <c r="L24" s="395"/>
      <c r="M24" s="395"/>
      <c r="N24" s="395"/>
      <c r="O24" s="395"/>
      <c r="P24" s="395"/>
    </row>
    <row r="25" spans="1:16" s="138" customFormat="1" x14ac:dyDescent="0.25">
      <c r="A25" s="396"/>
      <c r="B25" s="395"/>
      <c r="C25" s="397"/>
      <c r="D25" s="397"/>
      <c r="E25" s="397"/>
      <c r="F25" s="397"/>
      <c r="G25" s="397"/>
      <c r="H25" s="395"/>
      <c r="I25" s="395"/>
      <c r="J25" s="397"/>
      <c r="K25" s="397"/>
      <c r="L25" s="397"/>
      <c r="M25" s="397"/>
      <c r="N25" s="397"/>
      <c r="O25" s="395"/>
      <c r="P25" s="395"/>
    </row>
    <row r="26" spans="1:16" s="138" customFormat="1" x14ac:dyDescent="0.25">
      <c r="A26" s="396"/>
      <c r="B26" s="395"/>
      <c r="C26" s="395" t="s">
        <v>121</v>
      </c>
      <c r="D26" s="395"/>
      <c r="E26" s="395"/>
      <c r="F26" s="395"/>
      <c r="G26" s="395"/>
      <c r="H26" s="395"/>
      <c r="I26" s="395"/>
      <c r="J26" s="395" t="s">
        <v>121</v>
      </c>
      <c r="K26" s="395"/>
      <c r="L26" s="395"/>
      <c r="M26" s="395"/>
      <c r="N26" s="395"/>
      <c r="O26" s="395"/>
      <c r="P26" s="395"/>
    </row>
    <row r="27" spans="1:16" s="138" customFormat="1" x14ac:dyDescent="0.25">
      <c r="A27" s="396"/>
      <c r="B27" s="395"/>
      <c r="C27" s="395"/>
      <c r="D27" s="395"/>
      <c r="E27" s="395"/>
      <c r="F27" s="395"/>
      <c r="G27" s="395"/>
      <c r="H27" s="395"/>
      <c r="I27" s="395"/>
      <c r="J27" s="395"/>
      <c r="K27" s="395"/>
      <c r="L27" s="395"/>
      <c r="M27" s="395"/>
      <c r="N27" s="395"/>
      <c r="O27" s="395"/>
      <c r="P27" s="395"/>
    </row>
    <row r="28" spans="1:16" s="138" customFormat="1" x14ac:dyDescent="0.25">
      <c r="A28" s="396"/>
      <c r="B28" s="395"/>
      <c r="C28" s="397"/>
      <c r="D28" s="397"/>
      <c r="E28" s="397"/>
      <c r="F28" s="397"/>
      <c r="G28" s="397"/>
      <c r="H28" s="395"/>
      <c r="I28" s="395"/>
      <c r="J28" s="397"/>
      <c r="K28" s="397"/>
      <c r="L28" s="397"/>
      <c r="M28" s="397"/>
      <c r="N28" s="397"/>
      <c r="O28" s="395"/>
      <c r="P28" s="395"/>
    </row>
    <row r="29" spans="1:16" s="138" customFormat="1" x14ac:dyDescent="0.25">
      <c r="A29" s="396"/>
      <c r="B29" s="395"/>
      <c r="C29" s="395" t="s">
        <v>122</v>
      </c>
      <c r="D29" s="395"/>
      <c r="E29" s="395"/>
      <c r="F29" s="395"/>
      <c r="G29" s="395"/>
      <c r="H29" s="395"/>
      <c r="I29" s="395"/>
      <c r="J29" s="395" t="s">
        <v>122</v>
      </c>
      <c r="K29" s="395"/>
      <c r="L29" s="395"/>
      <c r="M29" s="395"/>
      <c r="N29" s="395"/>
      <c r="O29" s="395"/>
      <c r="P29" s="395"/>
    </row>
    <row r="30" spans="1:16" s="138" customFormat="1" x14ac:dyDescent="0.25">
      <c r="A30" s="396"/>
      <c r="B30" s="395"/>
      <c r="C30" s="395"/>
      <c r="D30" s="395"/>
      <c r="E30" s="395"/>
      <c r="F30" s="395"/>
      <c r="G30" s="395"/>
      <c r="H30" s="395"/>
      <c r="I30" s="395"/>
      <c r="J30" s="395"/>
      <c r="K30" s="395"/>
      <c r="L30" s="395"/>
      <c r="M30" s="395"/>
      <c r="N30" s="395"/>
      <c r="O30" s="395"/>
      <c r="P30" s="395"/>
    </row>
    <row r="31" spans="1:16" s="138" customFormat="1" x14ac:dyDescent="0.25"/>
    <row r="32" spans="1:16" s="138" customFormat="1" x14ac:dyDescent="0.25">
      <c r="A32" s="395"/>
      <c r="B32" s="395"/>
      <c r="C32" s="395"/>
      <c r="D32" s="395"/>
      <c r="E32" s="395"/>
      <c r="F32" s="395"/>
      <c r="G32" s="395"/>
      <c r="H32" s="395"/>
      <c r="I32" s="395"/>
      <c r="J32" s="395"/>
      <c r="K32" s="395"/>
      <c r="L32" s="395"/>
      <c r="M32" s="395"/>
      <c r="N32" s="395"/>
      <c r="O32" s="395"/>
      <c r="P32" s="395"/>
    </row>
    <row r="33" spans="1:16" s="138" customFormat="1" x14ac:dyDescent="0.25">
      <c r="A33" s="396"/>
      <c r="B33" s="395" t="s">
        <v>830</v>
      </c>
      <c r="C33" s="397"/>
      <c r="D33" s="397"/>
      <c r="E33" s="397"/>
      <c r="F33" s="397"/>
      <c r="G33" s="397"/>
      <c r="H33" s="395"/>
      <c r="I33" s="395" t="s">
        <v>830</v>
      </c>
      <c r="J33" s="397"/>
      <c r="K33" s="397"/>
      <c r="L33" s="397"/>
      <c r="M33" s="397"/>
      <c r="N33" s="397"/>
      <c r="O33" s="395"/>
      <c r="P33" s="395"/>
    </row>
    <row r="34" spans="1:16" s="138" customFormat="1" x14ac:dyDescent="0.25">
      <c r="A34" s="396"/>
      <c r="B34" s="395"/>
      <c r="C34" s="395" t="s">
        <v>831</v>
      </c>
      <c r="D34" s="395"/>
      <c r="E34" s="395"/>
      <c r="F34" s="395"/>
      <c r="G34" s="395"/>
      <c r="H34" s="395"/>
      <c r="I34" s="395"/>
      <c r="J34" s="395" t="s">
        <v>831</v>
      </c>
      <c r="K34" s="395"/>
      <c r="L34" s="395"/>
      <c r="M34" s="395"/>
      <c r="N34" s="395"/>
      <c r="O34" s="395"/>
      <c r="P34" s="395"/>
    </row>
    <row r="35" spans="1:16" s="138" customFormat="1" x14ac:dyDescent="0.25">
      <c r="A35" s="396"/>
      <c r="B35" s="395"/>
      <c r="C35" s="395"/>
      <c r="D35" s="395"/>
      <c r="E35" s="395"/>
      <c r="F35" s="395"/>
      <c r="G35" s="395"/>
      <c r="H35" s="395"/>
      <c r="I35" s="395"/>
      <c r="J35" s="395"/>
      <c r="K35" s="395"/>
      <c r="L35" s="395"/>
      <c r="M35" s="395"/>
      <c r="N35" s="395"/>
      <c r="O35" s="395"/>
      <c r="P35" s="395"/>
    </row>
    <row r="36" spans="1:16" s="138" customFormat="1" x14ac:dyDescent="0.25">
      <c r="A36" s="396"/>
      <c r="B36" s="395"/>
      <c r="C36" s="397"/>
      <c r="D36" s="397"/>
      <c r="E36" s="397"/>
      <c r="F36" s="397"/>
      <c r="G36" s="397"/>
      <c r="H36" s="395"/>
      <c r="I36" s="395"/>
      <c r="J36" s="397"/>
      <c r="K36" s="397"/>
      <c r="L36" s="397"/>
      <c r="M36" s="397"/>
      <c r="N36" s="397"/>
      <c r="O36" s="395"/>
      <c r="P36" s="395"/>
    </row>
    <row r="37" spans="1:16" s="138" customFormat="1" x14ac:dyDescent="0.25">
      <c r="A37" s="396"/>
      <c r="B37" s="395"/>
      <c r="C37" s="395" t="s">
        <v>832</v>
      </c>
      <c r="D37" s="395"/>
      <c r="E37" s="395"/>
      <c r="F37" s="395"/>
      <c r="G37" s="395"/>
      <c r="H37" s="395"/>
      <c r="I37" s="395"/>
      <c r="J37" s="395" t="s">
        <v>832</v>
      </c>
      <c r="K37" s="395"/>
      <c r="L37" s="395"/>
      <c r="M37" s="395"/>
      <c r="N37" s="395"/>
      <c r="O37" s="395"/>
      <c r="P37" s="395"/>
    </row>
    <row r="38" spans="1:16" s="138" customFormat="1" x14ac:dyDescent="0.25">
      <c r="A38" s="396"/>
      <c r="B38" s="395"/>
      <c r="C38" s="395"/>
      <c r="D38" s="395"/>
      <c r="E38" s="395"/>
      <c r="F38" s="395"/>
      <c r="G38" s="395"/>
      <c r="H38" s="395"/>
      <c r="I38" s="395"/>
      <c r="J38" s="395"/>
      <c r="K38" s="395"/>
      <c r="L38" s="395"/>
      <c r="M38" s="395"/>
      <c r="N38" s="395"/>
      <c r="O38" s="395"/>
      <c r="P38" s="395"/>
    </row>
    <row r="39" spans="1:16" s="138" customFormat="1" x14ac:dyDescent="0.25">
      <c r="A39" s="396"/>
      <c r="B39" s="395"/>
      <c r="C39" s="397"/>
      <c r="D39" s="397"/>
      <c r="E39" s="397"/>
      <c r="F39" s="397"/>
      <c r="G39" s="397"/>
      <c r="H39" s="395"/>
      <c r="I39" s="395"/>
      <c r="J39" s="397"/>
      <c r="K39" s="397"/>
      <c r="L39" s="397"/>
      <c r="M39" s="397"/>
      <c r="N39" s="397"/>
      <c r="O39" s="395"/>
      <c r="P39" s="395"/>
    </row>
    <row r="40" spans="1:16" s="138" customFormat="1" x14ac:dyDescent="0.25">
      <c r="A40" s="396"/>
      <c r="B40" s="395"/>
      <c r="C40" s="395" t="s">
        <v>121</v>
      </c>
      <c r="D40" s="395"/>
      <c r="E40" s="395"/>
      <c r="F40" s="395"/>
      <c r="G40" s="395"/>
      <c r="H40" s="395"/>
      <c r="I40" s="395"/>
      <c r="J40" s="395" t="s">
        <v>121</v>
      </c>
      <c r="K40" s="395"/>
      <c r="L40" s="395"/>
      <c r="M40" s="395"/>
      <c r="N40" s="395"/>
      <c r="O40" s="395"/>
      <c r="P40" s="395"/>
    </row>
    <row r="41" spans="1:16" s="138" customFormat="1" x14ac:dyDescent="0.25">
      <c r="A41" s="396"/>
      <c r="B41" s="395"/>
      <c r="C41" s="395"/>
      <c r="D41" s="395"/>
      <c r="E41" s="395"/>
      <c r="F41" s="395"/>
      <c r="G41" s="395"/>
      <c r="H41" s="395"/>
      <c r="I41" s="395"/>
      <c r="J41" s="395"/>
      <c r="K41" s="395"/>
      <c r="L41" s="395"/>
      <c r="M41" s="395"/>
      <c r="N41" s="395"/>
      <c r="O41" s="395"/>
      <c r="P41" s="395"/>
    </row>
    <row r="42" spans="1:16" s="138" customFormat="1" x14ac:dyDescent="0.25">
      <c r="A42" s="396"/>
      <c r="B42" s="395"/>
      <c r="C42" s="397"/>
      <c r="D42" s="397"/>
      <c r="E42" s="397"/>
      <c r="F42" s="397"/>
      <c r="G42" s="397"/>
      <c r="H42" s="395"/>
      <c r="I42" s="395"/>
      <c r="J42" s="397"/>
      <c r="K42" s="397"/>
      <c r="L42" s="397"/>
      <c r="M42" s="397"/>
      <c r="N42" s="397"/>
      <c r="O42" s="395"/>
      <c r="P42" s="395"/>
    </row>
    <row r="43" spans="1:16" s="138" customFormat="1" x14ac:dyDescent="0.25">
      <c r="A43" s="396"/>
      <c r="B43" s="395"/>
      <c r="C43" s="395" t="s">
        <v>122</v>
      </c>
      <c r="D43" s="395"/>
      <c r="E43" s="395"/>
      <c r="F43" s="395"/>
      <c r="G43" s="395"/>
      <c r="H43" s="395"/>
      <c r="I43" s="395"/>
      <c r="J43" s="395" t="s">
        <v>122</v>
      </c>
      <c r="K43" s="395"/>
      <c r="L43" s="395"/>
      <c r="M43" s="395"/>
      <c r="N43" s="395"/>
      <c r="O43" s="395"/>
      <c r="P43" s="395"/>
    </row>
    <row r="44" spans="1:16" s="138" customFormat="1" x14ac:dyDescent="0.25">
      <c r="A44" s="396"/>
      <c r="B44" s="395"/>
      <c r="C44" s="395"/>
      <c r="D44" s="395"/>
      <c r="E44" s="395"/>
      <c r="F44" s="395"/>
      <c r="G44" s="395"/>
      <c r="H44" s="395"/>
      <c r="I44" s="395"/>
      <c r="J44" s="395"/>
      <c r="K44" s="395"/>
      <c r="L44" s="395"/>
      <c r="M44" s="395"/>
      <c r="N44" s="395"/>
      <c r="O44" s="395"/>
      <c r="P44" s="395"/>
    </row>
    <row r="45" spans="1:16" s="138" customFormat="1" x14ac:dyDescent="0.25">
      <c r="A45" s="394"/>
    </row>
    <row r="46" spans="1:16" s="138" customFormat="1" x14ac:dyDescent="0.25">
      <c r="A46" s="394"/>
    </row>
    <row r="47" spans="1:16" s="138" customFormat="1" x14ac:dyDescent="0.25"/>
    <row r="48" spans="1:16" s="138" customFormat="1" x14ac:dyDescent="0.25"/>
  </sheetData>
  <sheetProtection algorithmName="SHA-512" hashValue="60z675gBNuvv1hFKYvE6J0Ac5iC4y0mBb4YvkMZokP0yQIbxehnGuC35wKD4xXhm7J1Rx21cDd4O+qMD7f3Apg==" saltValue="LoQNxSf8S/c+i8cPtz21PA==" spinCount="100000" sheet="1" objects="1" scenarios="1"/>
  <mergeCells count="3">
    <mergeCell ref="A6:P6"/>
    <mergeCell ref="A8:P8"/>
    <mergeCell ref="A4:P4"/>
  </mergeCells>
  <pageMargins left="0.7" right="0.7" top="0.75" bottom="0.75" header="0.3" footer="0.3"/>
  <pageSetup scale="5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0"/>
  <dimension ref="A1:AF3181"/>
  <sheetViews>
    <sheetView zoomScale="85" zoomScaleNormal="85" workbookViewId="0">
      <selection activeCell="Y22" sqref="Y22"/>
    </sheetView>
  </sheetViews>
  <sheetFormatPr defaultColWidth="9" defaultRowHeight="13.8" x14ac:dyDescent="0.25"/>
  <cols>
    <col min="1" max="1" width="1.69921875" customWidth="1"/>
    <col min="2" max="2" width="15" style="195" customWidth="1"/>
    <col min="3" max="3" width="37" bestFit="1" customWidth="1"/>
    <col min="4" max="4" width="12.69921875" bestFit="1" customWidth="1"/>
    <col min="5" max="5" width="40.19921875" bestFit="1" customWidth="1"/>
    <col min="6" max="6" width="7.69921875" customWidth="1"/>
    <col min="7" max="7" width="5.69921875" customWidth="1"/>
    <col min="8" max="8" width="14.09765625" style="194" customWidth="1"/>
    <col min="9" max="9" width="28.59765625" style="194" bestFit="1" customWidth="1"/>
    <col min="10" max="10" width="7.3984375" style="194" customWidth="1"/>
    <col min="11" max="11" width="5.69921875" style="194" customWidth="1"/>
    <col min="12" max="12" width="12.69921875" bestFit="1" customWidth="1"/>
    <col min="13" max="14" width="12.69921875" customWidth="1"/>
    <col min="15" max="17" width="12.69921875" style="196" customWidth="1"/>
    <col min="18" max="19" width="12.69921875" style="194" customWidth="1"/>
    <col min="20" max="23" width="12.69921875" customWidth="1"/>
    <col min="24" max="24" width="9.09765625" customWidth="1"/>
    <col min="25" max="27" width="12.69921875" customWidth="1"/>
    <col min="28" max="28" width="14.296875" bestFit="1" customWidth="1"/>
    <col min="29" max="29" width="43.5" bestFit="1" customWidth="1"/>
    <col min="30" max="30" width="10.59765625" bestFit="1" customWidth="1"/>
    <col min="31" max="31" width="14.796875" bestFit="1" customWidth="1"/>
    <col min="32" max="32" width="11.796875" customWidth="1"/>
    <col min="33" max="35" width="10.19921875" bestFit="1" customWidth="1"/>
    <col min="36" max="36" width="11.19921875" bestFit="1" customWidth="1"/>
    <col min="38" max="38" width="10.19921875" bestFit="1" customWidth="1"/>
    <col min="39" max="44" width="12.3984375" bestFit="1" customWidth="1"/>
    <col min="45" max="45" width="10.19921875" bestFit="1" customWidth="1"/>
    <col min="47" max="47" width="11.8984375" bestFit="1" customWidth="1"/>
    <col min="48" max="48" width="13.8984375" bestFit="1" customWidth="1"/>
    <col min="49" max="49" width="14.8984375" bestFit="1" customWidth="1"/>
    <col min="50" max="50" width="9.19921875" bestFit="1" customWidth="1"/>
  </cols>
  <sheetData>
    <row r="1" spans="1:32" s="5" customFormat="1" ht="54.9" customHeight="1" x14ac:dyDescent="0.25"/>
    <row r="2" spans="1:32" s="625" customFormat="1" ht="23.4" x14ac:dyDescent="0.4">
      <c r="A2" s="623"/>
      <c r="B2" s="631" t="s">
        <v>19</v>
      </c>
      <c r="C2" s="632"/>
      <c r="D2" s="632"/>
      <c r="E2" s="632"/>
      <c r="F2" s="632"/>
      <c r="G2" s="632"/>
      <c r="H2" s="633"/>
      <c r="I2" s="633"/>
      <c r="J2" s="634"/>
      <c r="K2" s="19"/>
      <c r="L2" s="19"/>
      <c r="M2" s="19"/>
      <c r="N2" s="19"/>
      <c r="O2" s="19"/>
      <c r="P2" s="623"/>
      <c r="Q2" s="623"/>
      <c r="R2" s="623"/>
      <c r="S2" s="623"/>
      <c r="T2" s="623"/>
      <c r="U2" s="623"/>
      <c r="V2" s="623"/>
      <c r="W2" s="623"/>
      <c r="X2" s="623"/>
      <c r="Y2" s="623"/>
      <c r="Z2" s="623"/>
      <c r="AA2" s="623"/>
      <c r="AB2" s="623"/>
      <c r="AC2" s="623"/>
      <c r="AD2" s="623"/>
      <c r="AE2" s="623"/>
      <c r="AF2" s="623"/>
    </row>
    <row r="3" spans="1:32" s="197" customFormat="1" ht="15" x14ac:dyDescent="0.25">
      <c r="A3" s="138"/>
      <c r="B3" s="627" t="s">
        <v>1108</v>
      </c>
      <c r="C3" s="628">
        <f>'Project Details'!C7</f>
        <v>0</v>
      </c>
      <c r="D3" s="628"/>
      <c r="E3" s="628"/>
      <c r="F3" s="628"/>
      <c r="G3" s="628"/>
      <c r="H3" s="629"/>
      <c r="I3" s="629"/>
      <c r="J3" s="630"/>
      <c r="K3" s="5"/>
      <c r="L3" s="5"/>
      <c r="M3" s="5"/>
      <c r="N3" s="5"/>
      <c r="O3" s="5"/>
      <c r="P3" s="138"/>
      <c r="Q3" s="138"/>
      <c r="R3" s="138"/>
      <c r="S3" s="138"/>
      <c r="T3" s="138"/>
      <c r="U3" s="138"/>
      <c r="V3" s="138"/>
      <c r="W3" s="138"/>
      <c r="X3" s="138"/>
      <c r="Y3" s="138"/>
      <c r="Z3" s="138"/>
      <c r="AA3" s="138"/>
      <c r="AB3" s="138"/>
      <c r="AC3" s="138"/>
      <c r="AD3" s="138"/>
      <c r="AE3" s="138"/>
      <c r="AF3" s="138"/>
    </row>
    <row r="4" spans="1:32" x14ac:dyDescent="0.25">
      <c r="A4" s="5"/>
      <c r="B4" s="48"/>
      <c r="C4" s="5"/>
      <c r="D4" s="5"/>
      <c r="E4" s="5"/>
      <c r="F4" s="5"/>
      <c r="G4" s="5"/>
      <c r="H4" s="192"/>
      <c r="I4" s="192"/>
      <c r="J4" s="621"/>
      <c r="K4" s="621"/>
      <c r="L4" s="5"/>
      <c r="M4" s="5"/>
      <c r="N4" s="5"/>
      <c r="O4" s="193"/>
      <c r="P4" s="193"/>
      <c r="Q4" s="193"/>
      <c r="R4" s="192"/>
      <c r="S4" s="192"/>
      <c r="T4" s="5"/>
      <c r="U4" s="5"/>
      <c r="V4" s="5"/>
      <c r="W4" s="5"/>
      <c r="X4" s="5"/>
      <c r="Y4" s="5"/>
      <c r="Z4" s="5"/>
      <c r="AA4" s="5"/>
      <c r="AB4" s="5"/>
      <c r="AC4" s="5"/>
      <c r="AD4" s="5"/>
      <c r="AE4" s="5"/>
      <c r="AF4" s="5"/>
    </row>
    <row r="5" spans="1:32" x14ac:dyDescent="0.25">
      <c r="A5" s="5"/>
      <c r="B5" s="48"/>
      <c r="C5" s="5"/>
      <c r="D5" s="5"/>
      <c r="E5" s="5"/>
      <c r="F5" s="5"/>
      <c r="G5" s="5"/>
      <c r="H5" s="192"/>
      <c r="I5" s="192"/>
      <c r="J5" s="621"/>
      <c r="K5" s="621"/>
      <c r="L5" s="5"/>
      <c r="M5" s="5"/>
      <c r="N5" s="5"/>
      <c r="O5" s="193"/>
      <c r="P5" s="193"/>
      <c r="Q5" s="193"/>
      <c r="R5" s="192"/>
      <c r="S5" s="192"/>
      <c r="T5" s="5"/>
      <c r="U5" s="5"/>
      <c r="V5" s="5"/>
      <c r="W5" s="5"/>
      <c r="X5" s="5"/>
      <c r="Y5" s="5"/>
      <c r="Z5" s="5"/>
      <c r="AA5" s="5"/>
      <c r="AB5" s="5"/>
      <c r="AC5" s="5"/>
      <c r="AD5" s="5"/>
      <c r="AE5" s="5"/>
      <c r="AF5" s="5"/>
    </row>
    <row r="6" spans="1:32" x14ac:dyDescent="0.25">
      <c r="A6" s="5"/>
      <c r="B6" s="889" t="s">
        <v>4924</v>
      </c>
      <c r="C6" s="889"/>
      <c r="D6" s="889"/>
      <c r="E6" s="889"/>
      <c r="F6" s="889"/>
      <c r="G6" s="5"/>
      <c r="H6" s="889" t="s">
        <v>7900</v>
      </c>
      <c r="I6" s="889"/>
      <c r="J6" s="889"/>
      <c r="K6" s="621"/>
      <c r="L6" s="889" t="s">
        <v>7904</v>
      </c>
      <c r="M6" s="889"/>
      <c r="N6" s="889"/>
      <c r="O6" s="889"/>
      <c r="P6" s="889"/>
      <c r="Q6" s="889"/>
      <c r="R6" s="889"/>
      <c r="S6" s="889"/>
      <c r="T6" s="889"/>
      <c r="U6" s="889"/>
      <c r="V6" s="889"/>
      <c r="W6" s="889"/>
      <c r="X6" s="5"/>
      <c r="Y6" s="890" t="s">
        <v>4887</v>
      </c>
      <c r="Z6" s="890"/>
      <c r="AA6" s="5"/>
      <c r="AB6" s="651" t="s">
        <v>4925</v>
      </c>
      <c r="AC6" s="651"/>
      <c r="AD6" s="651"/>
      <c r="AE6" s="651"/>
      <c r="AF6" s="651"/>
    </row>
    <row r="7" spans="1:32" ht="4.95" customHeight="1" x14ac:dyDescent="0.25">
      <c r="A7" s="5"/>
      <c r="B7" s="48"/>
      <c r="C7" s="5"/>
      <c r="D7" s="5"/>
      <c r="E7" s="5"/>
      <c r="F7" s="5"/>
      <c r="G7" s="5"/>
      <c r="H7" s="192"/>
      <c r="I7" s="192"/>
      <c r="J7" s="621"/>
      <c r="K7" s="621"/>
      <c r="L7" s="5"/>
      <c r="M7" s="5"/>
      <c r="N7" s="5"/>
      <c r="O7" s="193"/>
      <c r="P7" s="193"/>
      <c r="Q7" s="193"/>
      <c r="R7" s="192"/>
      <c r="S7" s="192"/>
      <c r="T7" s="5"/>
      <c r="U7" s="5"/>
      <c r="V7" s="5"/>
      <c r="W7" s="5"/>
      <c r="X7" s="5"/>
      <c r="Y7" s="5"/>
      <c r="Z7" s="5"/>
      <c r="AA7" s="5"/>
      <c r="AB7" s="5"/>
      <c r="AC7" s="5"/>
      <c r="AD7" s="5"/>
      <c r="AE7" s="5"/>
      <c r="AF7" s="5"/>
    </row>
    <row r="8" spans="1:32" ht="15" customHeight="1" x14ac:dyDescent="0.3">
      <c r="A8" s="5"/>
      <c r="B8" s="657" t="s">
        <v>4919</v>
      </c>
      <c r="C8" s="658" t="s">
        <v>4920</v>
      </c>
      <c r="D8" s="5"/>
      <c r="E8" s="5"/>
      <c r="F8" s="5"/>
      <c r="G8" s="5"/>
      <c r="H8" s="659" t="s">
        <v>4919</v>
      </c>
      <c r="I8" s="660" t="s">
        <v>4920</v>
      </c>
      <c r="J8" s="621"/>
      <c r="K8" s="621"/>
      <c r="L8" s="438" t="s">
        <v>4919</v>
      </c>
      <c r="M8" s="661" t="s">
        <v>4920</v>
      </c>
      <c r="N8" s="5"/>
      <c r="O8" s="193"/>
      <c r="P8" s="193"/>
      <c r="Q8" s="193"/>
      <c r="R8" s="192"/>
      <c r="S8" s="192"/>
      <c r="T8" s="5"/>
      <c r="U8" s="888" t="s">
        <v>7905</v>
      </c>
      <c r="V8" s="888"/>
      <c r="W8" s="888"/>
      <c r="X8" s="5"/>
      <c r="Y8" s="891" t="s">
        <v>4921</v>
      </c>
      <c r="Z8" s="891"/>
      <c r="AA8" s="5"/>
      <c r="AB8" s="5"/>
      <c r="AC8" s="5"/>
      <c r="AD8" s="5"/>
      <c r="AE8" s="5"/>
      <c r="AF8" s="5"/>
    </row>
    <row r="9" spans="1:32" ht="4.95" customHeight="1" x14ac:dyDescent="0.25">
      <c r="A9" s="5"/>
      <c r="B9" s="48"/>
      <c r="C9" s="5"/>
      <c r="D9" s="5"/>
      <c r="E9" s="5"/>
      <c r="F9" s="5"/>
      <c r="G9" s="5"/>
      <c r="H9" s="192"/>
      <c r="I9" s="192"/>
      <c r="J9" s="621"/>
      <c r="K9" s="621"/>
      <c r="L9" s="5"/>
      <c r="M9" s="5"/>
      <c r="N9" s="5"/>
      <c r="O9" s="193"/>
      <c r="P9" s="193"/>
      <c r="Q9" s="193"/>
      <c r="R9" s="192"/>
      <c r="S9" s="192"/>
      <c r="T9" s="5"/>
      <c r="U9" s="888"/>
      <c r="V9" s="888"/>
      <c r="W9" s="888"/>
      <c r="X9" s="5"/>
      <c r="Y9" s="5"/>
      <c r="Z9" s="5"/>
      <c r="AA9" s="5"/>
      <c r="AB9" s="5"/>
      <c r="AC9" s="5"/>
      <c r="AD9" s="5"/>
      <c r="AE9" s="5"/>
      <c r="AF9" s="5"/>
    </row>
    <row r="10" spans="1:32" s="615" customFormat="1" ht="45" customHeight="1" x14ac:dyDescent="0.25">
      <c r="A10" s="57"/>
      <c r="B10" s="618" t="s">
        <v>1673</v>
      </c>
      <c r="C10" s="618" t="s">
        <v>4847</v>
      </c>
      <c r="D10" s="618" t="s">
        <v>9</v>
      </c>
      <c r="E10" s="618" t="s">
        <v>4862</v>
      </c>
      <c r="F10" s="618" t="s">
        <v>4863</v>
      </c>
      <c r="G10" s="57"/>
      <c r="H10" s="618" t="s">
        <v>4864</v>
      </c>
      <c r="I10" s="618" t="s">
        <v>4865</v>
      </c>
      <c r="J10" s="619" t="s">
        <v>4866</v>
      </c>
      <c r="K10" s="626"/>
      <c r="L10" s="618" t="s">
        <v>4883</v>
      </c>
      <c r="M10" s="618">
        <v>1</v>
      </c>
      <c r="N10" s="618">
        <v>2</v>
      </c>
      <c r="O10" s="618">
        <v>3</v>
      </c>
      <c r="P10" s="618">
        <v>4</v>
      </c>
      <c r="Q10" s="618">
        <v>5</v>
      </c>
      <c r="R10" s="618">
        <v>6</v>
      </c>
      <c r="S10" s="618">
        <v>7</v>
      </c>
      <c r="T10" s="618">
        <v>8</v>
      </c>
      <c r="U10" s="675">
        <v>1.5</v>
      </c>
      <c r="V10" s="675">
        <v>4.5</v>
      </c>
      <c r="W10" s="675">
        <v>7.5</v>
      </c>
      <c r="X10" s="57"/>
      <c r="Y10" s="618" t="s">
        <v>4884</v>
      </c>
      <c r="Z10" s="618" t="s">
        <v>4885</v>
      </c>
      <c r="AA10" s="57"/>
      <c r="AB10" s="618" t="s">
        <v>7889</v>
      </c>
      <c r="AC10" s="618" t="s">
        <v>20</v>
      </c>
      <c r="AD10" s="618" t="s">
        <v>21</v>
      </c>
      <c r="AE10" s="618" t="s">
        <v>22</v>
      </c>
      <c r="AF10" s="618" t="s">
        <v>4923</v>
      </c>
    </row>
    <row r="11" spans="1:32" s="608" customFormat="1" x14ac:dyDescent="0.25">
      <c r="A11" s="624"/>
      <c r="B11" s="617">
        <v>39001770100</v>
      </c>
      <c r="C11" s="617" t="s">
        <v>1679</v>
      </c>
      <c r="D11" s="617" t="s">
        <v>23</v>
      </c>
      <c r="E11" s="617" t="s">
        <v>1672</v>
      </c>
      <c r="F11" s="617" t="s">
        <v>24</v>
      </c>
      <c r="G11" s="624"/>
      <c r="H11" s="669">
        <v>44141</v>
      </c>
      <c r="I11" s="617" t="s">
        <v>4868</v>
      </c>
      <c r="J11" s="617" t="s">
        <v>24</v>
      </c>
      <c r="K11" s="624"/>
      <c r="L11" s="617" t="s">
        <v>23</v>
      </c>
      <c r="M11" s="622">
        <v>27450</v>
      </c>
      <c r="N11" s="622">
        <v>31400</v>
      </c>
      <c r="O11" s="622">
        <v>35300</v>
      </c>
      <c r="P11" s="622">
        <v>39200</v>
      </c>
      <c r="Q11" s="622">
        <v>42350</v>
      </c>
      <c r="R11" s="622">
        <v>45500</v>
      </c>
      <c r="S11" s="622">
        <v>48650</v>
      </c>
      <c r="T11" s="622">
        <v>51750</v>
      </c>
      <c r="U11" s="636">
        <f>SUM(M11,N11)/2</f>
        <v>29425</v>
      </c>
      <c r="V11" s="636">
        <f>SUM(P11,Q11)/2</f>
        <v>40775</v>
      </c>
      <c r="W11" s="636">
        <f>SUM(S11,T11)/2</f>
        <v>50200</v>
      </c>
      <c r="X11" s="624"/>
      <c r="Y11" s="635">
        <v>0</v>
      </c>
      <c r="Z11" s="635">
        <v>1</v>
      </c>
      <c r="AA11" s="624"/>
      <c r="AB11" s="663">
        <v>39001770100</v>
      </c>
      <c r="AC11" s="663" t="s">
        <v>4926</v>
      </c>
      <c r="AD11" s="663" t="s">
        <v>4927</v>
      </c>
      <c r="AE11" s="663" t="s">
        <v>4928</v>
      </c>
      <c r="AF11" s="664" t="s">
        <v>4929</v>
      </c>
    </row>
    <row r="12" spans="1:32" s="608" customFormat="1" x14ac:dyDescent="0.25">
      <c r="A12" s="624"/>
      <c r="B12" s="617">
        <v>39001770200</v>
      </c>
      <c r="C12" s="617" t="s">
        <v>1680</v>
      </c>
      <c r="D12" s="617" t="s">
        <v>23</v>
      </c>
      <c r="E12" s="617" t="s">
        <v>1672</v>
      </c>
      <c r="F12" s="617" t="s">
        <v>26</v>
      </c>
      <c r="G12" s="624"/>
      <c r="H12" s="669">
        <v>44141</v>
      </c>
      <c r="I12" s="617" t="s">
        <v>4869</v>
      </c>
      <c r="J12" s="617" t="s">
        <v>24</v>
      </c>
      <c r="K12" s="624"/>
      <c r="L12" s="617" t="s">
        <v>25</v>
      </c>
      <c r="M12" s="622">
        <v>27450</v>
      </c>
      <c r="N12" s="622">
        <v>31400</v>
      </c>
      <c r="O12" s="622">
        <v>35300</v>
      </c>
      <c r="P12" s="622">
        <v>39200</v>
      </c>
      <c r="Q12" s="622">
        <v>42350</v>
      </c>
      <c r="R12" s="622">
        <v>45500</v>
      </c>
      <c r="S12" s="622">
        <v>48650</v>
      </c>
      <c r="T12" s="622">
        <v>51750</v>
      </c>
      <c r="U12" s="636">
        <f t="shared" ref="U12:U75" si="0">SUM(M12,N12)/2</f>
        <v>29425</v>
      </c>
      <c r="V12" s="636">
        <f t="shared" ref="V12:V75" si="1">SUM(P12,Q12)/2</f>
        <v>40775</v>
      </c>
      <c r="W12" s="636">
        <f t="shared" ref="W12:W75" si="2">SUM(S12,T12)/2</f>
        <v>50200</v>
      </c>
      <c r="X12" s="624"/>
      <c r="Y12" s="635">
        <v>1</v>
      </c>
      <c r="Z12" s="635">
        <v>1.5</v>
      </c>
      <c r="AA12" s="624"/>
      <c r="AB12" s="663">
        <v>39001770200</v>
      </c>
      <c r="AC12" s="663" t="s">
        <v>4930</v>
      </c>
      <c r="AD12" s="663" t="s">
        <v>4927</v>
      </c>
      <c r="AE12" s="663" t="s">
        <v>4931</v>
      </c>
      <c r="AF12" s="663" t="s">
        <v>4929</v>
      </c>
    </row>
    <row r="13" spans="1:32" s="608" customFormat="1" x14ac:dyDescent="0.25">
      <c r="A13" s="624"/>
      <c r="B13" s="617">
        <v>39001770301</v>
      </c>
      <c r="C13" s="617" t="s">
        <v>1681</v>
      </c>
      <c r="D13" s="617" t="s">
        <v>23</v>
      </c>
      <c r="E13" s="617" t="s">
        <v>1672</v>
      </c>
      <c r="F13" s="617" t="s">
        <v>26</v>
      </c>
      <c r="G13" s="624"/>
      <c r="H13" s="669">
        <v>44202</v>
      </c>
      <c r="I13" s="617" t="s">
        <v>4868</v>
      </c>
      <c r="J13" s="617" t="s">
        <v>24</v>
      </c>
      <c r="K13" s="624"/>
      <c r="L13" s="617" t="s">
        <v>27</v>
      </c>
      <c r="M13" s="622">
        <v>27800</v>
      </c>
      <c r="N13" s="622">
        <v>31750</v>
      </c>
      <c r="O13" s="622">
        <v>35700</v>
      </c>
      <c r="P13" s="622">
        <v>39650</v>
      </c>
      <c r="Q13" s="622">
        <v>42850</v>
      </c>
      <c r="R13" s="622">
        <v>46000</v>
      </c>
      <c r="S13" s="622">
        <v>49200</v>
      </c>
      <c r="T13" s="622">
        <v>52350</v>
      </c>
      <c r="U13" s="636">
        <f t="shared" si="0"/>
        <v>29775</v>
      </c>
      <c r="V13" s="636">
        <f t="shared" si="1"/>
        <v>41250</v>
      </c>
      <c r="W13" s="636">
        <f t="shared" si="2"/>
        <v>50775</v>
      </c>
      <c r="X13" s="624"/>
      <c r="Y13" s="635">
        <v>2</v>
      </c>
      <c r="Z13" s="635">
        <v>3</v>
      </c>
      <c r="AA13" s="624"/>
      <c r="AB13" s="663">
        <v>39001770300</v>
      </c>
      <c r="AC13" s="663" t="s">
        <v>4932</v>
      </c>
      <c r="AD13" s="663" t="s">
        <v>4927</v>
      </c>
      <c r="AE13" s="663" t="s">
        <v>4931</v>
      </c>
      <c r="AF13" s="663" t="s">
        <v>4929</v>
      </c>
    </row>
    <row r="14" spans="1:32" s="608" customFormat="1" x14ac:dyDescent="0.25">
      <c r="A14" s="624"/>
      <c r="B14" s="617">
        <v>39001770302</v>
      </c>
      <c r="C14" s="617" t="s">
        <v>1682</v>
      </c>
      <c r="D14" s="617" t="s">
        <v>23</v>
      </c>
      <c r="E14" s="617" t="s">
        <v>1672</v>
      </c>
      <c r="F14" s="617" t="s">
        <v>26</v>
      </c>
      <c r="G14" s="624"/>
      <c r="H14" s="669">
        <v>44022</v>
      </c>
      <c r="I14" s="617" t="s">
        <v>4869</v>
      </c>
      <c r="J14" s="617" t="s">
        <v>24</v>
      </c>
      <c r="K14" s="624"/>
      <c r="L14" s="617" t="s">
        <v>28</v>
      </c>
      <c r="M14" s="622">
        <v>27450</v>
      </c>
      <c r="N14" s="622">
        <v>31400</v>
      </c>
      <c r="O14" s="622">
        <v>35300</v>
      </c>
      <c r="P14" s="622">
        <v>39200</v>
      </c>
      <c r="Q14" s="622">
        <v>42350</v>
      </c>
      <c r="R14" s="622">
        <v>45500</v>
      </c>
      <c r="S14" s="622">
        <v>48650</v>
      </c>
      <c r="T14" s="622">
        <v>51750</v>
      </c>
      <c r="U14" s="636">
        <f t="shared" si="0"/>
        <v>29425</v>
      </c>
      <c r="V14" s="636">
        <f t="shared" si="1"/>
        <v>40775</v>
      </c>
      <c r="W14" s="636">
        <f t="shared" si="2"/>
        <v>50200</v>
      </c>
      <c r="X14" s="624"/>
      <c r="Y14" s="635">
        <v>3</v>
      </c>
      <c r="Z14" s="635">
        <v>4.5</v>
      </c>
      <c r="AA14" s="624"/>
      <c r="AB14" s="663">
        <v>39001770400</v>
      </c>
      <c r="AC14" s="663" t="s">
        <v>4933</v>
      </c>
      <c r="AD14" s="663" t="s">
        <v>4927</v>
      </c>
      <c r="AE14" s="663" t="s">
        <v>4934</v>
      </c>
      <c r="AF14" s="665" t="s">
        <v>4929</v>
      </c>
    </row>
    <row r="15" spans="1:32" s="608" customFormat="1" x14ac:dyDescent="0.25">
      <c r="A15" s="624"/>
      <c r="B15" s="617">
        <v>39001770400</v>
      </c>
      <c r="C15" s="617" t="s">
        <v>1683</v>
      </c>
      <c r="D15" s="617" t="s">
        <v>23</v>
      </c>
      <c r="E15" s="617" t="s">
        <v>1672</v>
      </c>
      <c r="F15" s="617" t="s">
        <v>24</v>
      </c>
      <c r="G15" s="624"/>
      <c r="H15" s="669">
        <v>44202</v>
      </c>
      <c r="I15" s="617" t="s">
        <v>4869</v>
      </c>
      <c r="J15" s="617" t="s">
        <v>24</v>
      </c>
      <c r="K15" s="624"/>
      <c r="L15" s="617" t="s">
        <v>29</v>
      </c>
      <c r="M15" s="622">
        <v>27800</v>
      </c>
      <c r="N15" s="622">
        <v>31750</v>
      </c>
      <c r="O15" s="622">
        <v>35700</v>
      </c>
      <c r="P15" s="622">
        <v>39650</v>
      </c>
      <c r="Q15" s="622">
        <v>42850</v>
      </c>
      <c r="R15" s="622">
        <v>46000</v>
      </c>
      <c r="S15" s="622">
        <v>49200</v>
      </c>
      <c r="T15" s="622">
        <v>52350</v>
      </c>
      <c r="U15" s="636">
        <f t="shared" si="0"/>
        <v>29775</v>
      </c>
      <c r="V15" s="636">
        <f t="shared" si="1"/>
        <v>41250</v>
      </c>
      <c r="W15" s="636">
        <f t="shared" si="2"/>
        <v>50775</v>
      </c>
      <c r="X15" s="624"/>
      <c r="Y15" s="635">
        <v>4</v>
      </c>
      <c r="Z15" s="635">
        <v>6</v>
      </c>
      <c r="AA15" s="624"/>
      <c r="AB15" s="663">
        <v>39001770500</v>
      </c>
      <c r="AC15" s="663" t="s">
        <v>4935</v>
      </c>
      <c r="AD15" s="663" t="s">
        <v>4927</v>
      </c>
      <c r="AE15" s="663" t="s">
        <v>4931</v>
      </c>
      <c r="AF15" s="665" t="s">
        <v>4929</v>
      </c>
    </row>
    <row r="16" spans="1:32" s="608" customFormat="1" x14ac:dyDescent="0.25">
      <c r="A16" s="624"/>
      <c r="B16" s="617">
        <v>39001770500</v>
      </c>
      <c r="C16" s="617" t="s">
        <v>1684</v>
      </c>
      <c r="D16" s="617" t="s">
        <v>23</v>
      </c>
      <c r="E16" s="617" t="s">
        <v>1672</v>
      </c>
      <c r="F16" s="617" t="s">
        <v>24</v>
      </c>
      <c r="G16" s="624"/>
      <c r="H16" s="669">
        <v>44280</v>
      </c>
      <c r="I16" s="617" t="s">
        <v>4869</v>
      </c>
      <c r="J16" s="617" t="s">
        <v>24</v>
      </c>
      <c r="K16" s="624"/>
      <c r="L16" s="617" t="s">
        <v>30</v>
      </c>
      <c r="M16" s="622">
        <v>32600</v>
      </c>
      <c r="N16" s="622">
        <v>37250</v>
      </c>
      <c r="O16" s="622">
        <v>41900</v>
      </c>
      <c r="P16" s="622">
        <v>46550</v>
      </c>
      <c r="Q16" s="622">
        <v>50300</v>
      </c>
      <c r="R16" s="622">
        <v>54000</v>
      </c>
      <c r="S16" s="622">
        <v>57750</v>
      </c>
      <c r="T16" s="622">
        <v>61450</v>
      </c>
      <c r="U16" s="636">
        <f t="shared" si="0"/>
        <v>34925</v>
      </c>
      <c r="V16" s="636">
        <f t="shared" si="1"/>
        <v>48425</v>
      </c>
      <c r="W16" s="636">
        <f t="shared" si="2"/>
        <v>59600</v>
      </c>
      <c r="X16" s="624"/>
      <c r="Y16" s="635">
        <v>5</v>
      </c>
      <c r="Z16" s="635">
        <v>7.5</v>
      </c>
      <c r="AA16" s="624"/>
      <c r="AB16" s="663">
        <v>39001770600</v>
      </c>
      <c r="AC16" s="663" t="s">
        <v>4936</v>
      </c>
      <c r="AD16" s="663" t="s">
        <v>4927</v>
      </c>
      <c r="AE16" s="663" t="s">
        <v>4934</v>
      </c>
      <c r="AF16" s="663" t="s">
        <v>4929</v>
      </c>
    </row>
    <row r="17" spans="1:32" s="608" customFormat="1" x14ac:dyDescent="0.25">
      <c r="A17" s="624"/>
      <c r="B17" s="617">
        <v>39001770600</v>
      </c>
      <c r="C17" s="617" t="s">
        <v>1685</v>
      </c>
      <c r="D17" s="617" t="s">
        <v>23</v>
      </c>
      <c r="E17" s="617" t="s">
        <v>1672</v>
      </c>
      <c r="F17" s="617" t="s">
        <v>24</v>
      </c>
      <c r="G17" s="624"/>
      <c r="H17" s="669">
        <v>45433</v>
      </c>
      <c r="I17" s="617" t="s">
        <v>4870</v>
      </c>
      <c r="J17" s="617" t="s">
        <v>26</v>
      </c>
      <c r="K17" s="624"/>
      <c r="L17" s="617" t="s">
        <v>31</v>
      </c>
      <c r="M17" s="622">
        <v>27150</v>
      </c>
      <c r="N17" s="622">
        <v>31000</v>
      </c>
      <c r="O17" s="622">
        <v>34900</v>
      </c>
      <c r="P17" s="622">
        <v>38750</v>
      </c>
      <c r="Q17" s="622">
        <v>41850</v>
      </c>
      <c r="R17" s="622">
        <v>44950</v>
      </c>
      <c r="S17" s="622">
        <v>48050</v>
      </c>
      <c r="T17" s="622">
        <v>51150</v>
      </c>
      <c r="U17" s="636">
        <f t="shared" si="0"/>
        <v>29075</v>
      </c>
      <c r="V17" s="636">
        <f t="shared" si="1"/>
        <v>40300</v>
      </c>
      <c r="W17" s="636">
        <f t="shared" si="2"/>
        <v>49600</v>
      </c>
      <c r="X17" s="624"/>
      <c r="Y17" s="624"/>
      <c r="Z17" s="624"/>
      <c r="AA17" s="624"/>
      <c r="AB17" s="663">
        <v>39003010100</v>
      </c>
      <c r="AC17" s="663" t="s">
        <v>4937</v>
      </c>
      <c r="AD17" s="663" t="s">
        <v>4938</v>
      </c>
      <c r="AE17" s="663" t="s">
        <v>4939</v>
      </c>
      <c r="AF17" s="665" t="s">
        <v>4929</v>
      </c>
    </row>
    <row r="18" spans="1:32" s="608" customFormat="1" x14ac:dyDescent="0.25">
      <c r="A18" s="624"/>
      <c r="B18" s="617">
        <v>39003010100</v>
      </c>
      <c r="C18" s="617" t="s">
        <v>1686</v>
      </c>
      <c r="D18" s="617" t="s">
        <v>25</v>
      </c>
      <c r="E18" s="617" t="s">
        <v>4848</v>
      </c>
      <c r="F18" s="617" t="s">
        <v>26</v>
      </c>
      <c r="G18" s="624"/>
      <c r="H18" s="669">
        <v>45040</v>
      </c>
      <c r="I18" s="617" t="s">
        <v>4867</v>
      </c>
      <c r="J18" s="617" t="s">
        <v>26</v>
      </c>
      <c r="K18" s="624"/>
      <c r="L18" s="617" t="s">
        <v>32</v>
      </c>
      <c r="M18" s="622">
        <v>27450</v>
      </c>
      <c r="N18" s="622">
        <v>31400</v>
      </c>
      <c r="O18" s="622">
        <v>35300</v>
      </c>
      <c r="P18" s="622">
        <v>39200</v>
      </c>
      <c r="Q18" s="622">
        <v>42350</v>
      </c>
      <c r="R18" s="622">
        <v>45500</v>
      </c>
      <c r="S18" s="622">
        <v>48650</v>
      </c>
      <c r="T18" s="622">
        <v>51750</v>
      </c>
      <c r="U18" s="636">
        <f t="shared" si="0"/>
        <v>29425</v>
      </c>
      <c r="V18" s="636">
        <f t="shared" si="1"/>
        <v>40775</v>
      </c>
      <c r="W18" s="636">
        <f t="shared" si="2"/>
        <v>50200</v>
      </c>
      <c r="X18" s="624"/>
      <c r="Y18" s="624"/>
      <c r="Z18" s="624"/>
      <c r="AA18" s="624"/>
      <c r="AB18" s="663">
        <v>39003010200</v>
      </c>
      <c r="AC18" s="663" t="s">
        <v>4940</v>
      </c>
      <c r="AD18" s="663" t="s">
        <v>4941</v>
      </c>
      <c r="AE18" s="663" t="s">
        <v>4942</v>
      </c>
      <c r="AF18" s="663" t="s">
        <v>4929</v>
      </c>
    </row>
    <row r="19" spans="1:32" s="608" customFormat="1" x14ac:dyDescent="0.25">
      <c r="A19" s="624"/>
      <c r="B19" s="617">
        <v>39003010200</v>
      </c>
      <c r="C19" s="617" t="s">
        <v>1687</v>
      </c>
      <c r="D19" s="617" t="s">
        <v>25</v>
      </c>
      <c r="E19" s="617" t="s">
        <v>4848</v>
      </c>
      <c r="F19" s="617" t="s">
        <v>26</v>
      </c>
      <c r="G19" s="624"/>
      <c r="H19" s="669">
        <v>45034</v>
      </c>
      <c r="I19" s="617" t="s">
        <v>4867</v>
      </c>
      <c r="J19" s="617" t="s">
        <v>26</v>
      </c>
      <c r="K19" s="624"/>
      <c r="L19" s="617" t="s">
        <v>33</v>
      </c>
      <c r="M19" s="622">
        <v>35400</v>
      </c>
      <c r="N19" s="622">
        <v>40450</v>
      </c>
      <c r="O19" s="622">
        <v>45500</v>
      </c>
      <c r="P19" s="622">
        <v>50550</v>
      </c>
      <c r="Q19" s="622">
        <v>54600</v>
      </c>
      <c r="R19" s="622">
        <v>58650</v>
      </c>
      <c r="S19" s="622">
        <v>62700</v>
      </c>
      <c r="T19" s="622">
        <v>66750</v>
      </c>
      <c r="U19" s="636">
        <f t="shared" si="0"/>
        <v>37925</v>
      </c>
      <c r="V19" s="636">
        <f t="shared" si="1"/>
        <v>52575</v>
      </c>
      <c r="W19" s="636">
        <f t="shared" si="2"/>
        <v>64725</v>
      </c>
      <c r="X19" s="624"/>
      <c r="Y19" s="624"/>
      <c r="Z19" s="624"/>
      <c r="AA19" s="624"/>
      <c r="AB19" s="663">
        <v>39003010300</v>
      </c>
      <c r="AC19" s="663" t="s">
        <v>4943</v>
      </c>
      <c r="AD19" s="663" t="s">
        <v>4938</v>
      </c>
      <c r="AE19" s="663" t="s">
        <v>4939</v>
      </c>
      <c r="AF19" s="663" t="s">
        <v>4929</v>
      </c>
    </row>
    <row r="20" spans="1:32" s="608" customFormat="1" x14ac:dyDescent="0.25">
      <c r="A20" s="624"/>
      <c r="B20" s="617">
        <v>39003010300</v>
      </c>
      <c r="C20" s="617" t="s">
        <v>1688</v>
      </c>
      <c r="D20" s="617" t="s">
        <v>25</v>
      </c>
      <c r="E20" s="617" t="s">
        <v>4848</v>
      </c>
      <c r="F20" s="617" t="s">
        <v>26</v>
      </c>
      <c r="G20" s="624"/>
      <c r="H20" s="669">
        <v>45202</v>
      </c>
      <c r="I20" s="617" t="s">
        <v>4867</v>
      </c>
      <c r="J20" s="617" t="s">
        <v>26</v>
      </c>
      <c r="K20" s="624"/>
      <c r="L20" s="617" t="s">
        <v>34</v>
      </c>
      <c r="M20" s="622">
        <v>28500</v>
      </c>
      <c r="N20" s="622">
        <v>32600</v>
      </c>
      <c r="O20" s="622">
        <v>36650</v>
      </c>
      <c r="P20" s="622">
        <v>40700</v>
      </c>
      <c r="Q20" s="622">
        <v>44000</v>
      </c>
      <c r="R20" s="622">
        <v>47250</v>
      </c>
      <c r="S20" s="622">
        <v>50500</v>
      </c>
      <c r="T20" s="622">
        <v>53750</v>
      </c>
      <c r="U20" s="636">
        <f t="shared" si="0"/>
        <v>30550</v>
      </c>
      <c r="V20" s="636">
        <f t="shared" si="1"/>
        <v>42350</v>
      </c>
      <c r="W20" s="636">
        <f t="shared" si="2"/>
        <v>52125</v>
      </c>
      <c r="X20" s="624"/>
      <c r="Y20" s="624"/>
      <c r="Z20" s="624"/>
      <c r="AA20" s="624"/>
      <c r="AB20" s="663">
        <v>39003010600</v>
      </c>
      <c r="AC20" s="663" t="s">
        <v>4944</v>
      </c>
      <c r="AD20" s="663" t="s">
        <v>4941</v>
      </c>
      <c r="AE20" s="663" t="s">
        <v>4942</v>
      </c>
      <c r="AF20" s="663" t="s">
        <v>4929</v>
      </c>
    </row>
    <row r="21" spans="1:32" s="608" customFormat="1" x14ac:dyDescent="0.25">
      <c r="A21" s="624"/>
      <c r="B21" s="617">
        <v>39003010600</v>
      </c>
      <c r="C21" s="617" t="s">
        <v>1689</v>
      </c>
      <c r="D21" s="617" t="s">
        <v>25</v>
      </c>
      <c r="E21" s="617" t="s">
        <v>4848</v>
      </c>
      <c r="F21" s="617" t="s">
        <v>26</v>
      </c>
      <c r="G21" s="624"/>
      <c r="H21" s="669">
        <v>44139</v>
      </c>
      <c r="I21" s="617" t="s">
        <v>4869</v>
      </c>
      <c r="J21" s="617" t="s">
        <v>26</v>
      </c>
      <c r="K21" s="624"/>
      <c r="L21" s="617" t="s">
        <v>35</v>
      </c>
      <c r="M21" s="622">
        <v>29100</v>
      </c>
      <c r="N21" s="622">
        <v>33250</v>
      </c>
      <c r="O21" s="622">
        <v>37400</v>
      </c>
      <c r="P21" s="622">
        <v>41550</v>
      </c>
      <c r="Q21" s="622">
        <v>44900</v>
      </c>
      <c r="R21" s="622">
        <v>48200</v>
      </c>
      <c r="S21" s="622">
        <v>51550</v>
      </c>
      <c r="T21" s="622">
        <v>54850</v>
      </c>
      <c r="U21" s="636">
        <f t="shared" si="0"/>
        <v>31175</v>
      </c>
      <c r="V21" s="636">
        <f t="shared" si="1"/>
        <v>43225</v>
      </c>
      <c r="W21" s="636">
        <f t="shared" si="2"/>
        <v>53200</v>
      </c>
      <c r="X21" s="624"/>
      <c r="Y21" s="624"/>
      <c r="Z21" s="624"/>
      <c r="AA21" s="624"/>
      <c r="AB21" s="663">
        <v>39003010800</v>
      </c>
      <c r="AC21" s="663" t="s">
        <v>4945</v>
      </c>
      <c r="AD21" s="663" t="s">
        <v>4941</v>
      </c>
      <c r="AE21" s="663" t="s">
        <v>4928</v>
      </c>
      <c r="AF21" s="663" t="s">
        <v>4946</v>
      </c>
    </row>
    <row r="22" spans="1:32" s="608" customFormat="1" x14ac:dyDescent="0.25">
      <c r="A22" s="624"/>
      <c r="B22" s="617">
        <v>39003010801</v>
      </c>
      <c r="C22" s="617" t="s">
        <v>1690</v>
      </c>
      <c r="D22" s="617" t="s">
        <v>25</v>
      </c>
      <c r="E22" s="617" t="s">
        <v>4848</v>
      </c>
      <c r="F22" s="617" t="s">
        <v>26</v>
      </c>
      <c r="G22" s="624"/>
      <c r="H22" s="669">
        <v>44012</v>
      </c>
      <c r="I22" s="617" t="s">
        <v>4869</v>
      </c>
      <c r="J22" s="617" t="s">
        <v>26</v>
      </c>
      <c r="K22" s="624"/>
      <c r="L22" s="617" t="s">
        <v>36</v>
      </c>
      <c r="M22" s="622">
        <v>27450</v>
      </c>
      <c r="N22" s="622">
        <v>31400</v>
      </c>
      <c r="O22" s="622">
        <v>35300</v>
      </c>
      <c r="P22" s="622">
        <v>39200</v>
      </c>
      <c r="Q22" s="622">
        <v>42350</v>
      </c>
      <c r="R22" s="622">
        <v>45500</v>
      </c>
      <c r="S22" s="622">
        <v>48650</v>
      </c>
      <c r="T22" s="622">
        <v>51750</v>
      </c>
      <c r="U22" s="636">
        <f t="shared" si="0"/>
        <v>29425</v>
      </c>
      <c r="V22" s="636">
        <f t="shared" si="1"/>
        <v>40775</v>
      </c>
      <c r="W22" s="636">
        <f t="shared" si="2"/>
        <v>50200</v>
      </c>
      <c r="X22" s="624"/>
      <c r="Y22" s="624"/>
      <c r="Z22" s="624"/>
      <c r="AA22" s="624"/>
      <c r="AB22" s="663">
        <v>39003010900</v>
      </c>
      <c r="AC22" s="663" t="s">
        <v>4947</v>
      </c>
      <c r="AD22" s="663" t="s">
        <v>4948</v>
      </c>
      <c r="AE22" s="663" t="s">
        <v>4931</v>
      </c>
      <c r="AF22" s="663" t="s">
        <v>4946</v>
      </c>
    </row>
    <row r="23" spans="1:32" s="608" customFormat="1" x14ac:dyDescent="0.25">
      <c r="A23" s="624"/>
      <c r="B23" s="617">
        <v>39003010802</v>
      </c>
      <c r="C23" s="617" t="s">
        <v>1691</v>
      </c>
      <c r="D23" s="617" t="s">
        <v>25</v>
      </c>
      <c r="E23" s="617" t="s">
        <v>4848</v>
      </c>
      <c r="F23" s="617" t="s">
        <v>26</v>
      </c>
      <c r="G23" s="624"/>
      <c r="H23" s="669">
        <v>43082</v>
      </c>
      <c r="I23" s="617" t="s">
        <v>4871</v>
      </c>
      <c r="J23" s="617" t="s">
        <v>26</v>
      </c>
      <c r="K23" s="624"/>
      <c r="L23" s="617" t="s">
        <v>37</v>
      </c>
      <c r="M23" s="622">
        <v>35400</v>
      </c>
      <c r="N23" s="622">
        <v>40450</v>
      </c>
      <c r="O23" s="622">
        <v>45500</v>
      </c>
      <c r="P23" s="622">
        <v>50550</v>
      </c>
      <c r="Q23" s="622">
        <v>54600</v>
      </c>
      <c r="R23" s="622">
        <v>58650</v>
      </c>
      <c r="S23" s="622">
        <v>62700</v>
      </c>
      <c r="T23" s="622">
        <v>66750</v>
      </c>
      <c r="U23" s="636">
        <f t="shared" si="0"/>
        <v>37925</v>
      </c>
      <c r="V23" s="636">
        <f t="shared" si="1"/>
        <v>52575</v>
      </c>
      <c r="W23" s="636">
        <f t="shared" si="2"/>
        <v>64725</v>
      </c>
      <c r="X23" s="624"/>
      <c r="Y23" s="624"/>
      <c r="Z23" s="624"/>
      <c r="AA23" s="624"/>
      <c r="AB23" s="663">
        <v>39003011000</v>
      </c>
      <c r="AC23" s="663" t="s">
        <v>4949</v>
      </c>
      <c r="AD23" s="663" t="s">
        <v>4950</v>
      </c>
      <c r="AE23" s="663" t="s">
        <v>4942</v>
      </c>
      <c r="AF23" s="663" t="s">
        <v>4946</v>
      </c>
    </row>
    <row r="24" spans="1:32" s="608" customFormat="1" x14ac:dyDescent="0.25">
      <c r="A24" s="624"/>
      <c r="B24" s="617">
        <v>39003010900</v>
      </c>
      <c r="C24" s="617" t="s">
        <v>1692</v>
      </c>
      <c r="D24" s="617" t="s">
        <v>25</v>
      </c>
      <c r="E24" s="617" t="s">
        <v>4848</v>
      </c>
      <c r="F24" s="617" t="s">
        <v>26</v>
      </c>
      <c r="G24" s="624"/>
      <c r="H24" s="669">
        <v>43215</v>
      </c>
      <c r="I24" s="617" t="s">
        <v>4871</v>
      </c>
      <c r="J24" s="617" t="s">
        <v>26</v>
      </c>
      <c r="K24" s="624"/>
      <c r="L24" s="617" t="s">
        <v>38</v>
      </c>
      <c r="M24" s="622">
        <v>27500</v>
      </c>
      <c r="N24" s="622">
        <v>31400</v>
      </c>
      <c r="O24" s="622">
        <v>35350</v>
      </c>
      <c r="P24" s="622">
        <v>39250</v>
      </c>
      <c r="Q24" s="622">
        <v>42400</v>
      </c>
      <c r="R24" s="622">
        <v>45550</v>
      </c>
      <c r="S24" s="622">
        <v>48700</v>
      </c>
      <c r="T24" s="622">
        <v>51850</v>
      </c>
      <c r="U24" s="636">
        <f t="shared" si="0"/>
        <v>29450</v>
      </c>
      <c r="V24" s="636">
        <f t="shared" si="1"/>
        <v>40825</v>
      </c>
      <c r="W24" s="636">
        <f t="shared" si="2"/>
        <v>50275</v>
      </c>
      <c r="X24" s="624"/>
      <c r="Y24" s="624"/>
      <c r="Z24" s="624"/>
      <c r="AA24" s="624"/>
      <c r="AB24" s="663">
        <v>39003011200</v>
      </c>
      <c r="AC24" s="663" t="s">
        <v>4951</v>
      </c>
      <c r="AD24" s="663" t="s">
        <v>4950</v>
      </c>
      <c r="AE24" s="663" t="s">
        <v>4939</v>
      </c>
      <c r="AF24" s="663" t="s">
        <v>4946</v>
      </c>
    </row>
    <row r="25" spans="1:32" s="608" customFormat="1" x14ac:dyDescent="0.25">
      <c r="A25" s="624"/>
      <c r="B25" s="617">
        <v>39003011000</v>
      </c>
      <c r="C25" s="617" t="s">
        <v>1693</v>
      </c>
      <c r="D25" s="617" t="s">
        <v>25</v>
      </c>
      <c r="E25" s="617" t="s">
        <v>4848</v>
      </c>
      <c r="F25" s="617" t="s">
        <v>26</v>
      </c>
      <c r="G25" s="624"/>
      <c r="H25" s="669">
        <v>45066</v>
      </c>
      <c r="I25" s="617" t="s">
        <v>4870</v>
      </c>
      <c r="J25" s="617" t="s">
        <v>26</v>
      </c>
      <c r="K25" s="624"/>
      <c r="L25" s="617" t="s">
        <v>39</v>
      </c>
      <c r="M25" s="622">
        <v>27450</v>
      </c>
      <c r="N25" s="622">
        <v>31400</v>
      </c>
      <c r="O25" s="622">
        <v>35300</v>
      </c>
      <c r="P25" s="622">
        <v>39200</v>
      </c>
      <c r="Q25" s="622">
        <v>42350</v>
      </c>
      <c r="R25" s="622">
        <v>45500</v>
      </c>
      <c r="S25" s="622">
        <v>48650</v>
      </c>
      <c r="T25" s="622">
        <v>51750</v>
      </c>
      <c r="U25" s="636">
        <f t="shared" si="0"/>
        <v>29425</v>
      </c>
      <c r="V25" s="636">
        <f t="shared" si="1"/>
        <v>40775</v>
      </c>
      <c r="W25" s="636">
        <f t="shared" si="2"/>
        <v>50200</v>
      </c>
      <c r="X25" s="624"/>
      <c r="Y25" s="624"/>
      <c r="Z25" s="624"/>
      <c r="AA25" s="624"/>
      <c r="AB25" s="663">
        <v>39003011300</v>
      </c>
      <c r="AC25" s="663" t="s">
        <v>4952</v>
      </c>
      <c r="AD25" s="663" t="s">
        <v>4938</v>
      </c>
      <c r="AE25" s="663" t="s">
        <v>4939</v>
      </c>
      <c r="AF25" s="663" t="s">
        <v>4929</v>
      </c>
    </row>
    <row r="26" spans="1:32" s="608" customFormat="1" x14ac:dyDescent="0.25">
      <c r="A26" s="624"/>
      <c r="B26" s="617">
        <v>39003011200</v>
      </c>
      <c r="C26" s="617" t="s">
        <v>1694</v>
      </c>
      <c r="D26" s="617" t="s">
        <v>25</v>
      </c>
      <c r="E26" s="617" t="s">
        <v>4848</v>
      </c>
      <c r="F26" s="617" t="s">
        <v>26</v>
      </c>
      <c r="G26" s="624"/>
      <c r="H26" s="669">
        <v>44011</v>
      </c>
      <c r="I26" s="617" t="s">
        <v>4869</v>
      </c>
      <c r="J26" s="617" t="s">
        <v>26</v>
      </c>
      <c r="K26" s="624"/>
      <c r="L26" s="617" t="s">
        <v>40</v>
      </c>
      <c r="M26" s="622">
        <v>27450</v>
      </c>
      <c r="N26" s="622">
        <v>31400</v>
      </c>
      <c r="O26" s="622">
        <v>35300</v>
      </c>
      <c r="P26" s="622">
        <v>39200</v>
      </c>
      <c r="Q26" s="622">
        <v>42350</v>
      </c>
      <c r="R26" s="622">
        <v>45500</v>
      </c>
      <c r="S26" s="622">
        <v>48650</v>
      </c>
      <c r="T26" s="622">
        <v>51750</v>
      </c>
      <c r="U26" s="636">
        <f t="shared" si="0"/>
        <v>29425</v>
      </c>
      <c r="V26" s="636">
        <f t="shared" si="1"/>
        <v>40775</v>
      </c>
      <c r="W26" s="636">
        <f t="shared" si="2"/>
        <v>50200</v>
      </c>
      <c r="X26" s="624"/>
      <c r="Y26" s="624"/>
      <c r="Z26" s="624"/>
      <c r="AA26" s="624"/>
      <c r="AB26" s="663">
        <v>39003011400</v>
      </c>
      <c r="AC26" s="663" t="s">
        <v>4953</v>
      </c>
      <c r="AD26" s="663" t="s">
        <v>4941</v>
      </c>
      <c r="AE26" s="663" t="s">
        <v>4942</v>
      </c>
      <c r="AF26" s="663" t="s">
        <v>4929</v>
      </c>
    </row>
    <row r="27" spans="1:32" s="608" customFormat="1" x14ac:dyDescent="0.25">
      <c r="A27" s="624"/>
      <c r="B27" s="617">
        <v>39003011301</v>
      </c>
      <c r="C27" s="617" t="s">
        <v>1695</v>
      </c>
      <c r="D27" s="617" t="s">
        <v>25</v>
      </c>
      <c r="E27" s="617" t="s">
        <v>4848</v>
      </c>
      <c r="F27" s="617" t="s">
        <v>26</v>
      </c>
      <c r="G27" s="624"/>
      <c r="H27" s="669">
        <v>43054</v>
      </c>
      <c r="I27" s="617" t="s">
        <v>4871</v>
      </c>
      <c r="J27" s="617" t="s">
        <v>26</v>
      </c>
      <c r="K27" s="624"/>
      <c r="L27" s="617" t="s">
        <v>41</v>
      </c>
      <c r="M27" s="622">
        <v>27450</v>
      </c>
      <c r="N27" s="622">
        <v>31400</v>
      </c>
      <c r="O27" s="622">
        <v>35300</v>
      </c>
      <c r="P27" s="622">
        <v>39200</v>
      </c>
      <c r="Q27" s="622">
        <v>42350</v>
      </c>
      <c r="R27" s="622">
        <v>45500</v>
      </c>
      <c r="S27" s="622">
        <v>48650</v>
      </c>
      <c r="T27" s="622">
        <v>51750</v>
      </c>
      <c r="U27" s="636">
        <f t="shared" si="0"/>
        <v>29425</v>
      </c>
      <c r="V27" s="636">
        <f t="shared" si="1"/>
        <v>40775</v>
      </c>
      <c r="W27" s="636">
        <f t="shared" si="2"/>
        <v>50200</v>
      </c>
      <c r="X27" s="624"/>
      <c r="Y27" s="624"/>
      <c r="Z27" s="624"/>
      <c r="AA27" s="624"/>
      <c r="AB27" s="663">
        <v>39003011500</v>
      </c>
      <c r="AC27" s="663" t="s">
        <v>4954</v>
      </c>
      <c r="AD27" s="663" t="s">
        <v>4948</v>
      </c>
      <c r="AE27" s="663" t="s">
        <v>4942</v>
      </c>
      <c r="AF27" s="663" t="s">
        <v>4929</v>
      </c>
    </row>
    <row r="28" spans="1:32" s="608" customFormat="1" x14ac:dyDescent="0.25">
      <c r="A28" s="624"/>
      <c r="B28" s="617">
        <v>39003011302</v>
      </c>
      <c r="C28" s="617" t="s">
        <v>1696</v>
      </c>
      <c r="D28" s="617" t="s">
        <v>25</v>
      </c>
      <c r="E28" s="617" t="s">
        <v>4848</v>
      </c>
      <c r="F28" s="617" t="s">
        <v>26</v>
      </c>
      <c r="G28" s="624"/>
      <c r="H28" s="669">
        <v>44072</v>
      </c>
      <c r="I28" s="617" t="s">
        <v>4869</v>
      </c>
      <c r="J28" s="617" t="s">
        <v>26</v>
      </c>
      <c r="K28" s="624"/>
      <c r="L28" s="617" t="s">
        <v>42</v>
      </c>
      <c r="M28" s="622">
        <v>31650</v>
      </c>
      <c r="N28" s="622">
        <v>36200</v>
      </c>
      <c r="O28" s="622">
        <v>40700</v>
      </c>
      <c r="P28" s="622">
        <v>45200</v>
      </c>
      <c r="Q28" s="622">
        <v>48850</v>
      </c>
      <c r="R28" s="622">
        <v>52450</v>
      </c>
      <c r="S28" s="622">
        <v>56050</v>
      </c>
      <c r="T28" s="622">
        <v>59700</v>
      </c>
      <c r="U28" s="636">
        <f t="shared" si="0"/>
        <v>33925</v>
      </c>
      <c r="V28" s="636">
        <f t="shared" si="1"/>
        <v>47025</v>
      </c>
      <c r="W28" s="636">
        <f t="shared" si="2"/>
        <v>57875</v>
      </c>
      <c r="X28" s="624"/>
      <c r="Y28" s="624"/>
      <c r="Z28" s="624"/>
      <c r="AA28" s="624"/>
      <c r="AB28" s="663">
        <v>39003011600</v>
      </c>
      <c r="AC28" s="663" t="s">
        <v>4955</v>
      </c>
      <c r="AD28" s="663" t="s">
        <v>4950</v>
      </c>
      <c r="AE28" s="663" t="s">
        <v>4928</v>
      </c>
      <c r="AF28" s="663" t="s">
        <v>4929</v>
      </c>
    </row>
    <row r="29" spans="1:32" s="608" customFormat="1" x14ac:dyDescent="0.25">
      <c r="A29" s="624"/>
      <c r="B29" s="617">
        <v>39003011400</v>
      </c>
      <c r="C29" s="617" t="s">
        <v>1697</v>
      </c>
      <c r="D29" s="617" t="s">
        <v>25</v>
      </c>
      <c r="E29" s="617" t="s">
        <v>4848</v>
      </c>
      <c r="F29" s="617" t="s">
        <v>26</v>
      </c>
      <c r="G29" s="624"/>
      <c r="H29" s="669">
        <v>44064</v>
      </c>
      <c r="I29" s="617" t="s">
        <v>4869</v>
      </c>
      <c r="J29" s="617" t="s">
        <v>26</v>
      </c>
      <c r="K29" s="624"/>
      <c r="L29" s="617" t="s">
        <v>43</v>
      </c>
      <c r="M29" s="622">
        <v>27500</v>
      </c>
      <c r="N29" s="622">
        <v>31400</v>
      </c>
      <c r="O29" s="622">
        <v>35350</v>
      </c>
      <c r="P29" s="622">
        <v>39250</v>
      </c>
      <c r="Q29" s="622">
        <v>42400</v>
      </c>
      <c r="R29" s="622">
        <v>45550</v>
      </c>
      <c r="S29" s="622">
        <v>48700</v>
      </c>
      <c r="T29" s="622">
        <v>51850</v>
      </c>
      <c r="U29" s="636">
        <f t="shared" si="0"/>
        <v>29450</v>
      </c>
      <c r="V29" s="636">
        <f t="shared" si="1"/>
        <v>40825</v>
      </c>
      <c r="W29" s="636">
        <f t="shared" si="2"/>
        <v>50275</v>
      </c>
      <c r="X29" s="624"/>
      <c r="Y29" s="624"/>
      <c r="Z29" s="624"/>
      <c r="AA29" s="624"/>
      <c r="AB29" s="663">
        <v>39003011800</v>
      </c>
      <c r="AC29" s="663" t="s">
        <v>4956</v>
      </c>
      <c r="AD29" s="663" t="s">
        <v>4941</v>
      </c>
      <c r="AE29" s="663" t="s">
        <v>4934</v>
      </c>
      <c r="AF29" s="663" t="s">
        <v>4946</v>
      </c>
    </row>
    <row r="30" spans="1:32" s="608" customFormat="1" x14ac:dyDescent="0.25">
      <c r="A30" s="624"/>
      <c r="B30" s="617">
        <v>39003011500</v>
      </c>
      <c r="C30" s="617" t="s">
        <v>1698</v>
      </c>
      <c r="D30" s="617" t="s">
        <v>25</v>
      </c>
      <c r="E30" s="617" t="s">
        <v>4848</v>
      </c>
      <c r="F30" s="617" t="s">
        <v>26</v>
      </c>
      <c r="G30" s="624"/>
      <c r="H30" s="669">
        <v>43002</v>
      </c>
      <c r="I30" s="617" t="s">
        <v>4871</v>
      </c>
      <c r="J30" s="617" t="s">
        <v>26</v>
      </c>
      <c r="K30" s="624"/>
      <c r="L30" s="617" t="s">
        <v>44</v>
      </c>
      <c r="M30" s="622">
        <v>29100</v>
      </c>
      <c r="N30" s="622">
        <v>33250</v>
      </c>
      <c r="O30" s="622">
        <v>37400</v>
      </c>
      <c r="P30" s="622">
        <v>41550</v>
      </c>
      <c r="Q30" s="622">
        <v>44900</v>
      </c>
      <c r="R30" s="622">
        <v>48200</v>
      </c>
      <c r="S30" s="622">
        <v>51550</v>
      </c>
      <c r="T30" s="622">
        <v>54850</v>
      </c>
      <c r="U30" s="636">
        <f t="shared" si="0"/>
        <v>31175</v>
      </c>
      <c r="V30" s="636">
        <f t="shared" si="1"/>
        <v>43225</v>
      </c>
      <c r="W30" s="636">
        <f t="shared" si="2"/>
        <v>53200</v>
      </c>
      <c r="X30" s="624"/>
      <c r="Y30" s="624"/>
      <c r="Z30" s="624"/>
      <c r="AA30" s="624"/>
      <c r="AB30" s="663">
        <v>39003011900</v>
      </c>
      <c r="AC30" s="663" t="s">
        <v>4957</v>
      </c>
      <c r="AD30" s="663" t="s">
        <v>4948</v>
      </c>
      <c r="AE30" s="663" t="s">
        <v>4931</v>
      </c>
      <c r="AF30" s="663" t="s">
        <v>4946</v>
      </c>
    </row>
    <row r="31" spans="1:32" s="608" customFormat="1" x14ac:dyDescent="0.25">
      <c r="A31" s="624"/>
      <c r="B31" s="617">
        <v>39003011600</v>
      </c>
      <c r="C31" s="617" t="s">
        <v>1699</v>
      </c>
      <c r="D31" s="617" t="s">
        <v>25</v>
      </c>
      <c r="E31" s="617" t="s">
        <v>4848</v>
      </c>
      <c r="F31" s="617" t="s">
        <v>26</v>
      </c>
      <c r="G31" s="624"/>
      <c r="H31" s="669">
        <v>45039</v>
      </c>
      <c r="I31" s="617" t="s">
        <v>4867</v>
      </c>
      <c r="J31" s="617" t="s">
        <v>26</v>
      </c>
      <c r="K31" s="624"/>
      <c r="L31" s="617" t="s">
        <v>45</v>
      </c>
      <c r="M31" s="622">
        <v>34750</v>
      </c>
      <c r="N31" s="622">
        <v>39700</v>
      </c>
      <c r="O31" s="622">
        <v>44650</v>
      </c>
      <c r="P31" s="622">
        <v>49600</v>
      </c>
      <c r="Q31" s="622">
        <v>53600</v>
      </c>
      <c r="R31" s="622">
        <v>57550</v>
      </c>
      <c r="S31" s="622">
        <v>61550</v>
      </c>
      <c r="T31" s="622">
        <v>65500</v>
      </c>
      <c r="U31" s="636">
        <f t="shared" si="0"/>
        <v>37225</v>
      </c>
      <c r="V31" s="636">
        <f t="shared" si="1"/>
        <v>51600</v>
      </c>
      <c r="W31" s="636">
        <f t="shared" si="2"/>
        <v>63525</v>
      </c>
      <c r="X31" s="624"/>
      <c r="Y31" s="624"/>
      <c r="Z31" s="624"/>
      <c r="AA31" s="624"/>
      <c r="AB31" s="663">
        <v>39003012000</v>
      </c>
      <c r="AC31" s="663" t="s">
        <v>4958</v>
      </c>
      <c r="AD31" s="663" t="s">
        <v>4938</v>
      </c>
      <c r="AE31" s="663" t="s">
        <v>4934</v>
      </c>
      <c r="AF31" s="663" t="s">
        <v>4946</v>
      </c>
    </row>
    <row r="32" spans="1:32" s="608" customFormat="1" x14ac:dyDescent="0.25">
      <c r="A32" s="624"/>
      <c r="B32" s="617">
        <v>39003011800</v>
      </c>
      <c r="C32" s="617" t="s">
        <v>1700</v>
      </c>
      <c r="D32" s="617" t="s">
        <v>25</v>
      </c>
      <c r="E32" s="617" t="s">
        <v>4848</v>
      </c>
      <c r="F32" s="617" t="s">
        <v>26</v>
      </c>
      <c r="G32" s="624"/>
      <c r="H32" s="669">
        <v>43566</v>
      </c>
      <c r="I32" s="617" t="s">
        <v>4872</v>
      </c>
      <c r="J32" s="617" t="s">
        <v>26</v>
      </c>
      <c r="K32" s="624"/>
      <c r="L32" s="617" t="s">
        <v>46</v>
      </c>
      <c r="M32" s="622">
        <v>29050</v>
      </c>
      <c r="N32" s="622">
        <v>33200</v>
      </c>
      <c r="O32" s="622">
        <v>37350</v>
      </c>
      <c r="P32" s="622">
        <v>41450</v>
      </c>
      <c r="Q32" s="622">
        <v>44800</v>
      </c>
      <c r="R32" s="622">
        <v>48100</v>
      </c>
      <c r="S32" s="622">
        <v>51400</v>
      </c>
      <c r="T32" s="622">
        <v>54750</v>
      </c>
      <c r="U32" s="636">
        <f t="shared" si="0"/>
        <v>31125</v>
      </c>
      <c r="V32" s="636">
        <f t="shared" si="1"/>
        <v>43125</v>
      </c>
      <c r="W32" s="636">
        <f t="shared" si="2"/>
        <v>53075</v>
      </c>
      <c r="X32" s="624"/>
      <c r="Y32" s="624"/>
      <c r="Z32" s="624"/>
      <c r="AA32" s="624"/>
      <c r="AB32" s="663">
        <v>39003012100</v>
      </c>
      <c r="AC32" s="663" t="s">
        <v>4959</v>
      </c>
      <c r="AD32" s="663" t="s">
        <v>4938</v>
      </c>
      <c r="AE32" s="663" t="s">
        <v>4934</v>
      </c>
      <c r="AF32" s="663" t="s">
        <v>4929</v>
      </c>
    </row>
    <row r="33" spans="1:32" s="608" customFormat="1" x14ac:dyDescent="0.25">
      <c r="A33" s="624"/>
      <c r="B33" s="617">
        <v>39003011900</v>
      </c>
      <c r="C33" s="617" t="s">
        <v>1701</v>
      </c>
      <c r="D33" s="617" t="s">
        <v>25</v>
      </c>
      <c r="E33" s="617" t="s">
        <v>4848</v>
      </c>
      <c r="F33" s="617" t="s">
        <v>26</v>
      </c>
      <c r="G33" s="624"/>
      <c r="H33" s="669">
        <v>45243</v>
      </c>
      <c r="I33" s="617" t="s">
        <v>4867</v>
      </c>
      <c r="J33" s="617" t="s">
        <v>26</v>
      </c>
      <c r="K33" s="624"/>
      <c r="L33" s="617" t="s">
        <v>47</v>
      </c>
      <c r="M33" s="622">
        <v>34750</v>
      </c>
      <c r="N33" s="622">
        <v>39700</v>
      </c>
      <c r="O33" s="622">
        <v>44650</v>
      </c>
      <c r="P33" s="622">
        <v>49600</v>
      </c>
      <c r="Q33" s="622">
        <v>53600</v>
      </c>
      <c r="R33" s="622">
        <v>57550</v>
      </c>
      <c r="S33" s="622">
        <v>61550</v>
      </c>
      <c r="T33" s="622">
        <v>65500</v>
      </c>
      <c r="U33" s="636">
        <f t="shared" si="0"/>
        <v>37225</v>
      </c>
      <c r="V33" s="636">
        <f t="shared" si="1"/>
        <v>51600</v>
      </c>
      <c r="W33" s="636">
        <f t="shared" si="2"/>
        <v>63525</v>
      </c>
      <c r="X33" s="624"/>
      <c r="Y33" s="624"/>
      <c r="Z33" s="624"/>
      <c r="AA33" s="624"/>
      <c r="AB33" s="663">
        <v>39003012200</v>
      </c>
      <c r="AC33" s="663" t="s">
        <v>4960</v>
      </c>
      <c r="AD33" s="663" t="s">
        <v>4950</v>
      </c>
      <c r="AE33" s="663" t="s">
        <v>4928</v>
      </c>
      <c r="AF33" s="663" t="s">
        <v>4946</v>
      </c>
    </row>
    <row r="34" spans="1:32" s="608" customFormat="1" x14ac:dyDescent="0.25">
      <c r="A34" s="624"/>
      <c r="B34" s="617">
        <v>39003012000</v>
      </c>
      <c r="C34" s="617" t="s">
        <v>1702</v>
      </c>
      <c r="D34" s="617" t="s">
        <v>25</v>
      </c>
      <c r="E34" s="617" t="s">
        <v>4848</v>
      </c>
      <c r="F34" s="617" t="s">
        <v>26</v>
      </c>
      <c r="G34" s="624"/>
      <c r="H34" s="669">
        <v>44236</v>
      </c>
      <c r="I34" s="617" t="s">
        <v>4868</v>
      </c>
      <c r="J34" s="617" t="s">
        <v>26</v>
      </c>
      <c r="K34" s="624"/>
      <c r="L34" s="617" t="s">
        <v>48</v>
      </c>
      <c r="M34" s="622">
        <v>27450</v>
      </c>
      <c r="N34" s="622">
        <v>31400</v>
      </c>
      <c r="O34" s="622">
        <v>35300</v>
      </c>
      <c r="P34" s="622">
        <v>39200</v>
      </c>
      <c r="Q34" s="622">
        <v>42350</v>
      </c>
      <c r="R34" s="622">
        <v>45500</v>
      </c>
      <c r="S34" s="622">
        <v>48650</v>
      </c>
      <c r="T34" s="622">
        <v>51750</v>
      </c>
      <c r="U34" s="636">
        <f t="shared" si="0"/>
        <v>29425</v>
      </c>
      <c r="V34" s="636">
        <f t="shared" si="1"/>
        <v>40775</v>
      </c>
      <c r="W34" s="636">
        <f t="shared" si="2"/>
        <v>50200</v>
      </c>
      <c r="X34" s="624"/>
      <c r="Y34" s="624"/>
      <c r="Z34" s="624"/>
      <c r="AA34" s="624"/>
      <c r="AB34" s="663">
        <v>39003012300</v>
      </c>
      <c r="AC34" s="663" t="s">
        <v>4961</v>
      </c>
      <c r="AD34" s="663" t="s">
        <v>4941</v>
      </c>
      <c r="AE34" s="663" t="s">
        <v>4942</v>
      </c>
      <c r="AF34" s="663" t="s">
        <v>4962</v>
      </c>
    </row>
    <row r="35" spans="1:32" s="608" customFormat="1" x14ac:dyDescent="0.25">
      <c r="A35" s="624"/>
      <c r="B35" s="617">
        <v>39003012100</v>
      </c>
      <c r="C35" s="617" t="s">
        <v>1703</v>
      </c>
      <c r="D35" s="617" t="s">
        <v>25</v>
      </c>
      <c r="E35" s="617" t="s">
        <v>4848</v>
      </c>
      <c r="F35" s="617" t="s">
        <v>26</v>
      </c>
      <c r="G35" s="624"/>
      <c r="H35" s="669">
        <v>43760</v>
      </c>
      <c r="I35" s="617" t="s">
        <v>1677</v>
      </c>
      <c r="J35" s="617" t="s">
        <v>26</v>
      </c>
      <c r="K35" s="624"/>
      <c r="L35" s="617" t="s">
        <v>49</v>
      </c>
      <c r="M35" s="622">
        <v>34750</v>
      </c>
      <c r="N35" s="622">
        <v>39700</v>
      </c>
      <c r="O35" s="622">
        <v>44650</v>
      </c>
      <c r="P35" s="622">
        <v>49600</v>
      </c>
      <c r="Q35" s="622">
        <v>53600</v>
      </c>
      <c r="R35" s="622">
        <v>57550</v>
      </c>
      <c r="S35" s="622">
        <v>61550</v>
      </c>
      <c r="T35" s="622">
        <v>65500</v>
      </c>
      <c r="U35" s="636">
        <f t="shared" si="0"/>
        <v>37225</v>
      </c>
      <c r="V35" s="636">
        <f t="shared" si="1"/>
        <v>51600</v>
      </c>
      <c r="W35" s="636">
        <f t="shared" si="2"/>
        <v>63525</v>
      </c>
      <c r="X35" s="624"/>
      <c r="Y35" s="624"/>
      <c r="Z35" s="624"/>
      <c r="AA35" s="624"/>
      <c r="AB35" s="663">
        <v>39003012400</v>
      </c>
      <c r="AC35" s="663" t="s">
        <v>4963</v>
      </c>
      <c r="AD35" s="663" t="s">
        <v>4941</v>
      </c>
      <c r="AE35" s="663" t="s">
        <v>4939</v>
      </c>
      <c r="AF35" s="663" t="s">
        <v>4962</v>
      </c>
    </row>
    <row r="36" spans="1:32" s="608" customFormat="1" x14ac:dyDescent="0.25">
      <c r="A36" s="624"/>
      <c r="B36" s="617">
        <v>39003012200</v>
      </c>
      <c r="C36" s="617" t="s">
        <v>1704</v>
      </c>
      <c r="D36" s="617" t="s">
        <v>25</v>
      </c>
      <c r="E36" s="617" t="s">
        <v>4848</v>
      </c>
      <c r="F36" s="617" t="s">
        <v>24</v>
      </c>
      <c r="G36" s="624"/>
      <c r="H36" s="669">
        <v>43016</v>
      </c>
      <c r="I36" s="617" t="s">
        <v>4871</v>
      </c>
      <c r="J36" s="617" t="s">
        <v>26</v>
      </c>
      <c r="K36" s="624"/>
      <c r="L36" s="617" t="s">
        <v>50</v>
      </c>
      <c r="M36" s="622">
        <v>28850</v>
      </c>
      <c r="N36" s="622">
        <v>33000</v>
      </c>
      <c r="O36" s="622">
        <v>37100</v>
      </c>
      <c r="P36" s="622">
        <v>41200</v>
      </c>
      <c r="Q36" s="622">
        <v>44500</v>
      </c>
      <c r="R36" s="622">
        <v>47800</v>
      </c>
      <c r="S36" s="622">
        <v>51100</v>
      </c>
      <c r="T36" s="622">
        <v>54400</v>
      </c>
      <c r="U36" s="636">
        <f t="shared" si="0"/>
        <v>30925</v>
      </c>
      <c r="V36" s="636">
        <f t="shared" si="1"/>
        <v>42850</v>
      </c>
      <c r="W36" s="636">
        <f t="shared" si="2"/>
        <v>52750</v>
      </c>
      <c r="X36" s="624"/>
      <c r="Y36" s="624"/>
      <c r="Z36" s="624"/>
      <c r="AA36" s="624"/>
      <c r="AB36" s="663">
        <v>39003012600</v>
      </c>
      <c r="AC36" s="663" t="s">
        <v>4964</v>
      </c>
      <c r="AD36" s="663" t="s">
        <v>4941</v>
      </c>
      <c r="AE36" s="663" t="s">
        <v>4939</v>
      </c>
      <c r="AF36" s="663" t="s">
        <v>4962</v>
      </c>
    </row>
    <row r="37" spans="1:32" s="608" customFormat="1" x14ac:dyDescent="0.25">
      <c r="A37" s="624"/>
      <c r="B37" s="617">
        <v>39003012300</v>
      </c>
      <c r="C37" s="617" t="s">
        <v>1705</v>
      </c>
      <c r="D37" s="617" t="s">
        <v>25</v>
      </c>
      <c r="E37" s="617" t="s">
        <v>4848</v>
      </c>
      <c r="F37" s="617" t="s">
        <v>26</v>
      </c>
      <c r="G37" s="624"/>
      <c r="H37" s="669">
        <v>44149</v>
      </c>
      <c r="I37" s="617" t="s">
        <v>4869</v>
      </c>
      <c r="J37" s="617" t="s">
        <v>26</v>
      </c>
      <c r="K37" s="624"/>
      <c r="L37" s="617" t="s">
        <v>51</v>
      </c>
      <c r="M37" s="622">
        <v>27450</v>
      </c>
      <c r="N37" s="622">
        <v>31400</v>
      </c>
      <c r="O37" s="622">
        <v>35300</v>
      </c>
      <c r="P37" s="622">
        <v>39200</v>
      </c>
      <c r="Q37" s="622">
        <v>42350</v>
      </c>
      <c r="R37" s="622">
        <v>45500</v>
      </c>
      <c r="S37" s="622">
        <v>48650</v>
      </c>
      <c r="T37" s="622">
        <v>51750</v>
      </c>
      <c r="U37" s="636">
        <f t="shared" si="0"/>
        <v>29425</v>
      </c>
      <c r="V37" s="636">
        <f t="shared" si="1"/>
        <v>40775</v>
      </c>
      <c r="W37" s="636">
        <f t="shared" si="2"/>
        <v>50200</v>
      </c>
      <c r="X37" s="624"/>
      <c r="Y37" s="624"/>
      <c r="Z37" s="624"/>
      <c r="AA37" s="624"/>
      <c r="AB37" s="663">
        <v>39003012700</v>
      </c>
      <c r="AC37" s="663" t="s">
        <v>4965</v>
      </c>
      <c r="AD37" s="663" t="s">
        <v>4950</v>
      </c>
      <c r="AE37" s="663" t="s">
        <v>4942</v>
      </c>
      <c r="AF37" s="663" t="s">
        <v>4962</v>
      </c>
    </row>
    <row r="38" spans="1:32" s="608" customFormat="1" x14ac:dyDescent="0.25">
      <c r="A38" s="624"/>
      <c r="B38" s="617">
        <v>39003012400</v>
      </c>
      <c r="C38" s="617" t="s">
        <v>1706</v>
      </c>
      <c r="D38" s="617" t="s">
        <v>25</v>
      </c>
      <c r="E38" s="617" t="s">
        <v>4848</v>
      </c>
      <c r="F38" s="617" t="s">
        <v>24</v>
      </c>
      <c r="G38" s="624"/>
      <c r="H38" s="669">
        <v>44113</v>
      </c>
      <c r="I38" s="617" t="s">
        <v>4869</v>
      </c>
      <c r="J38" s="617" t="s">
        <v>26</v>
      </c>
      <c r="K38" s="624"/>
      <c r="L38" s="617" t="s">
        <v>52</v>
      </c>
      <c r="M38" s="622">
        <v>31650</v>
      </c>
      <c r="N38" s="622">
        <v>36200</v>
      </c>
      <c r="O38" s="622">
        <v>40700</v>
      </c>
      <c r="P38" s="622">
        <v>45200</v>
      </c>
      <c r="Q38" s="622">
        <v>48850</v>
      </c>
      <c r="R38" s="622">
        <v>52450</v>
      </c>
      <c r="S38" s="622">
        <v>56050</v>
      </c>
      <c r="T38" s="622">
        <v>59700</v>
      </c>
      <c r="U38" s="636">
        <f t="shared" si="0"/>
        <v>33925</v>
      </c>
      <c r="V38" s="636">
        <f t="shared" si="1"/>
        <v>47025</v>
      </c>
      <c r="W38" s="636">
        <f t="shared" si="2"/>
        <v>57875</v>
      </c>
      <c r="X38" s="624"/>
      <c r="Y38" s="624"/>
      <c r="Z38" s="624"/>
      <c r="AA38" s="624"/>
      <c r="AB38" s="663">
        <v>39003012900</v>
      </c>
      <c r="AC38" s="663" t="s">
        <v>4966</v>
      </c>
      <c r="AD38" s="663" t="s">
        <v>4950</v>
      </c>
      <c r="AE38" s="663" t="s">
        <v>4931</v>
      </c>
      <c r="AF38" s="663" t="s">
        <v>4962</v>
      </c>
    </row>
    <row r="39" spans="1:32" s="608" customFormat="1" x14ac:dyDescent="0.25">
      <c r="A39" s="624"/>
      <c r="B39" s="617">
        <v>39003012600</v>
      </c>
      <c r="C39" s="617" t="s">
        <v>1707</v>
      </c>
      <c r="D39" s="617" t="s">
        <v>25</v>
      </c>
      <c r="E39" s="617" t="s">
        <v>4848</v>
      </c>
      <c r="F39" s="617" t="s">
        <v>26</v>
      </c>
      <c r="G39" s="624"/>
      <c r="H39" s="669">
        <v>44087</v>
      </c>
      <c r="I39" s="617" t="s">
        <v>4868</v>
      </c>
      <c r="J39" s="617" t="s">
        <v>26</v>
      </c>
      <c r="K39" s="624"/>
      <c r="L39" s="617" t="s">
        <v>53</v>
      </c>
      <c r="M39" s="622">
        <v>31150</v>
      </c>
      <c r="N39" s="622">
        <v>35600</v>
      </c>
      <c r="O39" s="622">
        <v>40050</v>
      </c>
      <c r="P39" s="622">
        <v>44500</v>
      </c>
      <c r="Q39" s="622">
        <v>48100</v>
      </c>
      <c r="R39" s="622">
        <v>51650</v>
      </c>
      <c r="S39" s="622">
        <v>55200</v>
      </c>
      <c r="T39" s="622">
        <v>58750</v>
      </c>
      <c r="U39" s="636">
        <f t="shared" si="0"/>
        <v>33375</v>
      </c>
      <c r="V39" s="636">
        <f t="shared" si="1"/>
        <v>46300</v>
      </c>
      <c r="W39" s="636">
        <f t="shared" si="2"/>
        <v>56975</v>
      </c>
      <c r="X39" s="624"/>
      <c r="Y39" s="624"/>
      <c r="Z39" s="624"/>
      <c r="AA39" s="624"/>
      <c r="AB39" s="663">
        <v>39003013000</v>
      </c>
      <c r="AC39" s="663" t="s">
        <v>4967</v>
      </c>
      <c r="AD39" s="663" t="s">
        <v>4941</v>
      </c>
      <c r="AE39" s="663" t="s">
        <v>4942</v>
      </c>
      <c r="AF39" s="663" t="s">
        <v>4962</v>
      </c>
    </row>
    <row r="40" spans="1:32" s="608" customFormat="1" x14ac:dyDescent="0.25">
      <c r="A40" s="624"/>
      <c r="B40" s="617">
        <v>39003012700</v>
      </c>
      <c r="C40" s="617" t="s">
        <v>1708</v>
      </c>
      <c r="D40" s="617" t="s">
        <v>25</v>
      </c>
      <c r="E40" s="617" t="s">
        <v>4848</v>
      </c>
      <c r="F40" s="617" t="s">
        <v>24</v>
      </c>
      <c r="G40" s="624"/>
      <c r="H40" s="669">
        <v>44401</v>
      </c>
      <c r="I40" s="617" t="s">
        <v>4873</v>
      </c>
      <c r="J40" s="617" t="s">
        <v>26</v>
      </c>
      <c r="K40" s="624"/>
      <c r="L40" s="617" t="s">
        <v>54</v>
      </c>
      <c r="M40" s="622">
        <v>27450</v>
      </c>
      <c r="N40" s="622">
        <v>31400</v>
      </c>
      <c r="O40" s="622">
        <v>35300</v>
      </c>
      <c r="P40" s="622">
        <v>39200</v>
      </c>
      <c r="Q40" s="622">
        <v>42350</v>
      </c>
      <c r="R40" s="622">
        <v>45500</v>
      </c>
      <c r="S40" s="622">
        <v>48650</v>
      </c>
      <c r="T40" s="622">
        <v>51750</v>
      </c>
      <c r="U40" s="636">
        <f t="shared" si="0"/>
        <v>29425</v>
      </c>
      <c r="V40" s="636">
        <f t="shared" si="1"/>
        <v>40775</v>
      </c>
      <c r="W40" s="636">
        <f t="shared" si="2"/>
        <v>50200</v>
      </c>
      <c r="X40" s="624"/>
      <c r="Y40" s="624"/>
      <c r="Z40" s="624"/>
      <c r="AA40" s="624"/>
      <c r="AB40" s="663">
        <v>39003013100</v>
      </c>
      <c r="AC40" s="663" t="s">
        <v>4968</v>
      </c>
      <c r="AD40" s="663" t="s">
        <v>4948</v>
      </c>
      <c r="AE40" s="663" t="s">
        <v>4939</v>
      </c>
      <c r="AF40" s="663" t="s">
        <v>4946</v>
      </c>
    </row>
    <row r="41" spans="1:32" s="608" customFormat="1" x14ac:dyDescent="0.25">
      <c r="A41" s="624"/>
      <c r="B41" s="617">
        <v>39003012900</v>
      </c>
      <c r="C41" s="617" t="s">
        <v>1709</v>
      </c>
      <c r="D41" s="617" t="s">
        <v>25</v>
      </c>
      <c r="E41" s="617" t="s">
        <v>4848</v>
      </c>
      <c r="F41" s="617" t="s">
        <v>24</v>
      </c>
      <c r="G41" s="624"/>
      <c r="H41" s="669">
        <v>44122</v>
      </c>
      <c r="I41" s="617" t="s">
        <v>4869</v>
      </c>
      <c r="J41" s="617" t="s">
        <v>26</v>
      </c>
      <c r="K41" s="624"/>
      <c r="L41" s="617" t="s">
        <v>55</v>
      </c>
      <c r="M41" s="622">
        <v>35400</v>
      </c>
      <c r="N41" s="622">
        <v>40450</v>
      </c>
      <c r="O41" s="622">
        <v>45500</v>
      </c>
      <c r="P41" s="622">
        <v>50550</v>
      </c>
      <c r="Q41" s="622">
        <v>54600</v>
      </c>
      <c r="R41" s="622">
        <v>58650</v>
      </c>
      <c r="S41" s="622">
        <v>62700</v>
      </c>
      <c r="T41" s="622">
        <v>66750</v>
      </c>
      <c r="U41" s="636">
        <f t="shared" si="0"/>
        <v>37925</v>
      </c>
      <c r="V41" s="636">
        <f t="shared" si="1"/>
        <v>52575</v>
      </c>
      <c r="W41" s="636">
        <f t="shared" si="2"/>
        <v>64725</v>
      </c>
      <c r="X41" s="624"/>
      <c r="Y41" s="624"/>
      <c r="Z41" s="624"/>
      <c r="AA41" s="624"/>
      <c r="AB41" s="663">
        <v>39003013200</v>
      </c>
      <c r="AC41" s="663" t="s">
        <v>4969</v>
      </c>
      <c r="AD41" s="663" t="s">
        <v>4941</v>
      </c>
      <c r="AE41" s="663" t="s">
        <v>4934</v>
      </c>
      <c r="AF41" s="663" t="s">
        <v>4962</v>
      </c>
    </row>
    <row r="42" spans="1:32" s="608" customFormat="1" x14ac:dyDescent="0.25">
      <c r="A42" s="624"/>
      <c r="B42" s="617">
        <v>39003013000</v>
      </c>
      <c r="C42" s="617" t="s">
        <v>1710</v>
      </c>
      <c r="D42" s="617" t="s">
        <v>25</v>
      </c>
      <c r="E42" s="617" t="s">
        <v>4848</v>
      </c>
      <c r="F42" s="617" t="s">
        <v>26</v>
      </c>
      <c r="G42" s="624"/>
      <c r="H42" s="669">
        <v>44131</v>
      </c>
      <c r="I42" s="617" t="s">
        <v>4869</v>
      </c>
      <c r="J42" s="617" t="s">
        <v>26</v>
      </c>
      <c r="K42" s="624"/>
      <c r="L42" s="617" t="s">
        <v>56</v>
      </c>
      <c r="M42" s="622">
        <v>31350</v>
      </c>
      <c r="N42" s="622">
        <v>35800</v>
      </c>
      <c r="O42" s="622">
        <v>40300</v>
      </c>
      <c r="P42" s="622">
        <v>44750</v>
      </c>
      <c r="Q42" s="622">
        <v>48350</v>
      </c>
      <c r="R42" s="622">
        <v>51950</v>
      </c>
      <c r="S42" s="622">
        <v>55500</v>
      </c>
      <c r="T42" s="622">
        <v>59100</v>
      </c>
      <c r="U42" s="636">
        <f t="shared" si="0"/>
        <v>33575</v>
      </c>
      <c r="V42" s="636">
        <f t="shared" si="1"/>
        <v>46550</v>
      </c>
      <c r="W42" s="636">
        <f t="shared" si="2"/>
        <v>57300</v>
      </c>
      <c r="X42" s="624"/>
      <c r="Y42" s="624"/>
      <c r="Z42" s="624"/>
      <c r="AA42" s="624"/>
      <c r="AB42" s="663">
        <v>39003013300</v>
      </c>
      <c r="AC42" s="663" t="s">
        <v>4970</v>
      </c>
      <c r="AD42" s="663" t="s">
        <v>4941</v>
      </c>
      <c r="AE42" s="663" t="s">
        <v>4931</v>
      </c>
      <c r="AF42" s="663" t="s">
        <v>4962</v>
      </c>
    </row>
    <row r="43" spans="1:32" s="608" customFormat="1" x14ac:dyDescent="0.25">
      <c r="A43" s="624"/>
      <c r="B43" s="617">
        <v>39003013100</v>
      </c>
      <c r="C43" s="617" t="s">
        <v>1711</v>
      </c>
      <c r="D43" s="617" t="s">
        <v>25</v>
      </c>
      <c r="E43" s="617" t="s">
        <v>4848</v>
      </c>
      <c r="F43" s="617" t="s">
        <v>26</v>
      </c>
      <c r="G43" s="624"/>
      <c r="H43" s="669">
        <v>45430</v>
      </c>
      <c r="I43" s="617" t="s">
        <v>4870</v>
      </c>
      <c r="J43" s="617" t="s">
        <v>26</v>
      </c>
      <c r="K43" s="624"/>
      <c r="L43" s="617" t="s">
        <v>57</v>
      </c>
      <c r="M43" s="622">
        <v>27450</v>
      </c>
      <c r="N43" s="622">
        <v>31400</v>
      </c>
      <c r="O43" s="622">
        <v>35300</v>
      </c>
      <c r="P43" s="622">
        <v>39200</v>
      </c>
      <c r="Q43" s="622">
        <v>42350</v>
      </c>
      <c r="R43" s="622">
        <v>45500</v>
      </c>
      <c r="S43" s="622">
        <v>48650</v>
      </c>
      <c r="T43" s="622">
        <v>51750</v>
      </c>
      <c r="U43" s="636">
        <f t="shared" si="0"/>
        <v>29425</v>
      </c>
      <c r="V43" s="636">
        <f t="shared" si="1"/>
        <v>40775</v>
      </c>
      <c r="W43" s="636">
        <f t="shared" si="2"/>
        <v>50200</v>
      </c>
      <c r="X43" s="624"/>
      <c r="Y43" s="624"/>
      <c r="Z43" s="624"/>
      <c r="AA43" s="624"/>
      <c r="AB43" s="663">
        <v>39003013400</v>
      </c>
      <c r="AC43" s="663" t="s">
        <v>4971</v>
      </c>
      <c r="AD43" s="663" t="s">
        <v>4950</v>
      </c>
      <c r="AE43" s="663" t="s">
        <v>4939</v>
      </c>
      <c r="AF43" s="663" t="s">
        <v>4962</v>
      </c>
    </row>
    <row r="44" spans="1:32" s="608" customFormat="1" x14ac:dyDescent="0.25">
      <c r="A44" s="624"/>
      <c r="B44" s="617">
        <v>39003013200</v>
      </c>
      <c r="C44" s="617" t="s">
        <v>1712</v>
      </c>
      <c r="D44" s="617" t="s">
        <v>25</v>
      </c>
      <c r="E44" s="617" t="s">
        <v>4848</v>
      </c>
      <c r="F44" s="617" t="s">
        <v>26</v>
      </c>
      <c r="G44" s="624"/>
      <c r="H44" s="669">
        <v>45050</v>
      </c>
      <c r="I44" s="617" t="s">
        <v>4867</v>
      </c>
      <c r="J44" s="617" t="s">
        <v>26</v>
      </c>
      <c r="K44" s="624"/>
      <c r="L44" s="617" t="s">
        <v>58</v>
      </c>
      <c r="M44" s="622">
        <v>27450</v>
      </c>
      <c r="N44" s="622">
        <v>31400</v>
      </c>
      <c r="O44" s="622">
        <v>35300</v>
      </c>
      <c r="P44" s="622">
        <v>39200</v>
      </c>
      <c r="Q44" s="622">
        <v>42350</v>
      </c>
      <c r="R44" s="622">
        <v>45500</v>
      </c>
      <c r="S44" s="622">
        <v>48650</v>
      </c>
      <c r="T44" s="622">
        <v>51750</v>
      </c>
      <c r="U44" s="636">
        <f t="shared" si="0"/>
        <v>29425</v>
      </c>
      <c r="V44" s="636">
        <f t="shared" si="1"/>
        <v>40775</v>
      </c>
      <c r="W44" s="636">
        <f t="shared" si="2"/>
        <v>50200</v>
      </c>
      <c r="X44" s="624"/>
      <c r="Y44" s="624"/>
      <c r="Z44" s="624"/>
      <c r="AA44" s="624"/>
      <c r="AB44" s="663">
        <v>39003013600</v>
      </c>
      <c r="AC44" s="663" t="s">
        <v>4972</v>
      </c>
      <c r="AD44" s="663" t="s">
        <v>4950</v>
      </c>
      <c r="AE44" s="663" t="s">
        <v>4931</v>
      </c>
      <c r="AF44" s="663" t="s">
        <v>4962</v>
      </c>
    </row>
    <row r="45" spans="1:32" s="608" customFormat="1" x14ac:dyDescent="0.25">
      <c r="A45" s="624"/>
      <c r="B45" s="617">
        <v>39003013300</v>
      </c>
      <c r="C45" s="617" t="s">
        <v>1713</v>
      </c>
      <c r="D45" s="617" t="s">
        <v>25</v>
      </c>
      <c r="E45" s="617" t="s">
        <v>4848</v>
      </c>
      <c r="F45" s="617" t="s">
        <v>26</v>
      </c>
      <c r="G45" s="624"/>
      <c r="H45" s="669">
        <v>44473</v>
      </c>
      <c r="I45" s="617" t="s">
        <v>4873</v>
      </c>
      <c r="J45" s="617" t="s">
        <v>26</v>
      </c>
      <c r="K45" s="624"/>
      <c r="L45" s="617" t="s">
        <v>59</v>
      </c>
      <c r="M45" s="622">
        <v>29650</v>
      </c>
      <c r="N45" s="622">
        <v>33850</v>
      </c>
      <c r="O45" s="622">
        <v>38100</v>
      </c>
      <c r="P45" s="622">
        <v>42300</v>
      </c>
      <c r="Q45" s="622">
        <v>45700</v>
      </c>
      <c r="R45" s="622">
        <v>49100</v>
      </c>
      <c r="S45" s="622">
        <v>52500</v>
      </c>
      <c r="T45" s="622">
        <v>55850</v>
      </c>
      <c r="U45" s="636">
        <f t="shared" si="0"/>
        <v>31750</v>
      </c>
      <c r="V45" s="636">
        <f t="shared" si="1"/>
        <v>44000</v>
      </c>
      <c r="W45" s="636">
        <f t="shared" si="2"/>
        <v>54175</v>
      </c>
      <c r="X45" s="624"/>
      <c r="Y45" s="624"/>
      <c r="Z45" s="624"/>
      <c r="AA45" s="624"/>
      <c r="AB45" s="663">
        <v>39003013700</v>
      </c>
      <c r="AC45" s="663" t="s">
        <v>4973</v>
      </c>
      <c r="AD45" s="663" t="s">
        <v>4950</v>
      </c>
      <c r="AE45" s="663" t="s">
        <v>4934</v>
      </c>
      <c r="AF45" s="663" t="s">
        <v>4962</v>
      </c>
    </row>
    <row r="46" spans="1:32" s="608" customFormat="1" x14ac:dyDescent="0.25">
      <c r="A46" s="624"/>
      <c r="B46" s="617">
        <v>39003013400</v>
      </c>
      <c r="C46" s="617" t="s">
        <v>1714</v>
      </c>
      <c r="D46" s="617" t="s">
        <v>25</v>
      </c>
      <c r="E46" s="617" t="s">
        <v>4848</v>
      </c>
      <c r="F46" s="617" t="s">
        <v>24</v>
      </c>
      <c r="G46" s="624"/>
      <c r="H46" s="669">
        <v>44145</v>
      </c>
      <c r="I46" s="617" t="s">
        <v>4869</v>
      </c>
      <c r="J46" s="617" t="s">
        <v>26</v>
      </c>
      <c r="K46" s="624"/>
      <c r="L46" s="617" t="s">
        <v>60</v>
      </c>
      <c r="M46" s="622">
        <v>27450</v>
      </c>
      <c r="N46" s="622">
        <v>31400</v>
      </c>
      <c r="O46" s="622">
        <v>35300</v>
      </c>
      <c r="P46" s="622">
        <v>39200</v>
      </c>
      <c r="Q46" s="622">
        <v>42350</v>
      </c>
      <c r="R46" s="622">
        <v>45500</v>
      </c>
      <c r="S46" s="622">
        <v>48650</v>
      </c>
      <c r="T46" s="622">
        <v>51750</v>
      </c>
      <c r="U46" s="636">
        <f t="shared" si="0"/>
        <v>29425</v>
      </c>
      <c r="V46" s="636">
        <f t="shared" si="1"/>
        <v>40775</v>
      </c>
      <c r="W46" s="636">
        <f t="shared" si="2"/>
        <v>50200</v>
      </c>
      <c r="X46" s="624"/>
      <c r="Y46" s="624"/>
      <c r="Z46" s="624"/>
      <c r="AA46" s="624"/>
      <c r="AB46" s="663">
        <v>39003013800</v>
      </c>
      <c r="AC46" s="663" t="s">
        <v>4974</v>
      </c>
      <c r="AD46" s="663" t="s">
        <v>4927</v>
      </c>
      <c r="AE46" s="663" t="s">
        <v>4939</v>
      </c>
      <c r="AF46" s="663" t="s">
        <v>4946</v>
      </c>
    </row>
    <row r="47" spans="1:32" s="608" customFormat="1" x14ac:dyDescent="0.25">
      <c r="A47" s="624"/>
      <c r="B47" s="617">
        <v>39003013600</v>
      </c>
      <c r="C47" s="617" t="s">
        <v>1715</v>
      </c>
      <c r="D47" s="617" t="s">
        <v>25</v>
      </c>
      <c r="E47" s="617" t="s">
        <v>4848</v>
      </c>
      <c r="F47" s="617" t="s">
        <v>24</v>
      </c>
      <c r="G47" s="624"/>
      <c r="H47" s="669">
        <v>45434</v>
      </c>
      <c r="I47" s="617" t="s">
        <v>4870</v>
      </c>
      <c r="J47" s="617" t="s">
        <v>26</v>
      </c>
      <c r="K47" s="624"/>
      <c r="L47" s="617" t="s">
        <v>61</v>
      </c>
      <c r="M47" s="622">
        <v>27500</v>
      </c>
      <c r="N47" s="622">
        <v>31400</v>
      </c>
      <c r="O47" s="622">
        <v>35350</v>
      </c>
      <c r="P47" s="622">
        <v>39250</v>
      </c>
      <c r="Q47" s="622">
        <v>42400</v>
      </c>
      <c r="R47" s="622">
        <v>45550</v>
      </c>
      <c r="S47" s="622">
        <v>48700</v>
      </c>
      <c r="T47" s="622">
        <v>51850</v>
      </c>
      <c r="U47" s="636">
        <f t="shared" si="0"/>
        <v>29450</v>
      </c>
      <c r="V47" s="636">
        <f t="shared" si="1"/>
        <v>40825</v>
      </c>
      <c r="W47" s="636">
        <f t="shared" si="2"/>
        <v>50275</v>
      </c>
      <c r="X47" s="624"/>
      <c r="Y47" s="624"/>
      <c r="Z47" s="624"/>
      <c r="AA47" s="624"/>
      <c r="AB47" s="663">
        <v>39003013900</v>
      </c>
      <c r="AC47" s="663" t="s">
        <v>4975</v>
      </c>
      <c r="AD47" s="663" t="s">
        <v>4941</v>
      </c>
      <c r="AE47" s="663" t="s">
        <v>4942</v>
      </c>
      <c r="AF47" s="663" t="s">
        <v>4929</v>
      </c>
    </row>
    <row r="48" spans="1:32" s="608" customFormat="1" x14ac:dyDescent="0.25">
      <c r="A48" s="624"/>
      <c r="B48" s="617">
        <v>39003013700</v>
      </c>
      <c r="C48" s="617" t="s">
        <v>1716</v>
      </c>
      <c r="D48" s="617" t="s">
        <v>25</v>
      </c>
      <c r="E48" s="617" t="s">
        <v>4848</v>
      </c>
      <c r="F48" s="617" t="s">
        <v>24</v>
      </c>
      <c r="G48" s="624"/>
      <c r="H48" s="669">
        <v>45301</v>
      </c>
      <c r="I48" s="617" t="s">
        <v>4870</v>
      </c>
      <c r="J48" s="617" t="s">
        <v>26</v>
      </c>
      <c r="K48" s="624"/>
      <c r="L48" s="617" t="s">
        <v>62</v>
      </c>
      <c r="M48" s="622">
        <v>29400</v>
      </c>
      <c r="N48" s="622">
        <v>33600</v>
      </c>
      <c r="O48" s="622">
        <v>37800</v>
      </c>
      <c r="P48" s="622">
        <v>41950</v>
      </c>
      <c r="Q48" s="622">
        <v>45350</v>
      </c>
      <c r="R48" s="622">
        <v>48700</v>
      </c>
      <c r="S48" s="622">
        <v>52050</v>
      </c>
      <c r="T48" s="622">
        <v>55400</v>
      </c>
      <c r="U48" s="636">
        <f t="shared" si="0"/>
        <v>31500</v>
      </c>
      <c r="V48" s="636">
        <f t="shared" si="1"/>
        <v>43650</v>
      </c>
      <c r="W48" s="636">
        <f t="shared" si="2"/>
        <v>53725</v>
      </c>
      <c r="X48" s="624"/>
      <c r="Y48" s="624"/>
      <c r="Z48" s="624"/>
      <c r="AA48" s="624"/>
      <c r="AB48" s="663">
        <v>39003014000</v>
      </c>
      <c r="AC48" s="663" t="s">
        <v>4976</v>
      </c>
      <c r="AD48" s="663" t="s">
        <v>4941</v>
      </c>
      <c r="AE48" s="663" t="s">
        <v>4934</v>
      </c>
      <c r="AF48" s="663" t="s">
        <v>4929</v>
      </c>
    </row>
    <row r="49" spans="1:32" s="608" customFormat="1" x14ac:dyDescent="0.25">
      <c r="A49" s="624"/>
      <c r="B49" s="617">
        <v>39003013800</v>
      </c>
      <c r="C49" s="617" t="s">
        <v>1717</v>
      </c>
      <c r="D49" s="617" t="s">
        <v>25</v>
      </c>
      <c r="E49" s="617" t="s">
        <v>4848</v>
      </c>
      <c r="F49" s="617" t="s">
        <v>24</v>
      </c>
      <c r="G49" s="624"/>
      <c r="H49" s="669">
        <v>45242</v>
      </c>
      <c r="I49" s="617" t="s">
        <v>4867</v>
      </c>
      <c r="J49" s="617" t="s">
        <v>26</v>
      </c>
      <c r="K49" s="624"/>
      <c r="L49" s="617" t="s">
        <v>63</v>
      </c>
      <c r="M49" s="622">
        <v>27450</v>
      </c>
      <c r="N49" s="622">
        <v>31400</v>
      </c>
      <c r="O49" s="622">
        <v>35300</v>
      </c>
      <c r="P49" s="622">
        <v>39200</v>
      </c>
      <c r="Q49" s="622">
        <v>42350</v>
      </c>
      <c r="R49" s="622">
        <v>45500</v>
      </c>
      <c r="S49" s="622">
        <v>48650</v>
      </c>
      <c r="T49" s="622">
        <v>51750</v>
      </c>
      <c r="U49" s="636">
        <f t="shared" si="0"/>
        <v>29425</v>
      </c>
      <c r="V49" s="636">
        <f t="shared" si="1"/>
        <v>40775</v>
      </c>
      <c r="W49" s="636">
        <f t="shared" si="2"/>
        <v>50200</v>
      </c>
      <c r="X49" s="624"/>
      <c r="Y49" s="624"/>
      <c r="Z49" s="624"/>
      <c r="AA49" s="624"/>
      <c r="AB49" s="663">
        <v>39003014100</v>
      </c>
      <c r="AC49" s="663" t="s">
        <v>4977</v>
      </c>
      <c r="AD49" s="663" t="s">
        <v>4948</v>
      </c>
      <c r="AE49" s="663" t="s">
        <v>4939</v>
      </c>
      <c r="AF49" s="663" t="s">
        <v>4962</v>
      </c>
    </row>
    <row r="50" spans="1:32" s="608" customFormat="1" x14ac:dyDescent="0.25">
      <c r="A50" s="624"/>
      <c r="B50" s="617">
        <v>39003013900</v>
      </c>
      <c r="C50" s="617" t="s">
        <v>1718</v>
      </c>
      <c r="D50" s="617" t="s">
        <v>25</v>
      </c>
      <c r="E50" s="617" t="s">
        <v>4848</v>
      </c>
      <c r="F50" s="617" t="s">
        <v>26</v>
      </c>
      <c r="G50" s="624"/>
      <c r="H50" s="669">
        <v>43017</v>
      </c>
      <c r="I50" s="617" t="s">
        <v>4871</v>
      </c>
      <c r="J50" s="617" t="s">
        <v>26</v>
      </c>
      <c r="K50" s="624"/>
      <c r="L50" s="617" t="s">
        <v>64</v>
      </c>
      <c r="M50" s="622">
        <v>27450</v>
      </c>
      <c r="N50" s="622">
        <v>31400</v>
      </c>
      <c r="O50" s="622">
        <v>35300</v>
      </c>
      <c r="P50" s="622">
        <v>39200</v>
      </c>
      <c r="Q50" s="622">
        <v>42350</v>
      </c>
      <c r="R50" s="622">
        <v>45500</v>
      </c>
      <c r="S50" s="622">
        <v>48650</v>
      </c>
      <c r="T50" s="622">
        <v>51750</v>
      </c>
      <c r="U50" s="636">
        <f t="shared" si="0"/>
        <v>29425</v>
      </c>
      <c r="V50" s="636">
        <f t="shared" si="1"/>
        <v>40775</v>
      </c>
      <c r="W50" s="636">
        <f t="shared" si="2"/>
        <v>50200</v>
      </c>
      <c r="X50" s="624"/>
      <c r="Y50" s="624"/>
      <c r="Z50" s="624"/>
      <c r="AA50" s="624"/>
      <c r="AB50" s="663">
        <v>39005970100</v>
      </c>
      <c r="AC50" s="663" t="s">
        <v>4978</v>
      </c>
      <c r="AD50" s="663" t="s">
        <v>4927</v>
      </c>
      <c r="AE50" s="663" t="s">
        <v>4931</v>
      </c>
      <c r="AF50" s="663" t="s">
        <v>4929</v>
      </c>
    </row>
    <row r="51" spans="1:32" s="608" customFormat="1" x14ac:dyDescent="0.25">
      <c r="A51" s="624"/>
      <c r="B51" s="617">
        <v>39003014000</v>
      </c>
      <c r="C51" s="617" t="s">
        <v>1719</v>
      </c>
      <c r="D51" s="617" t="s">
        <v>25</v>
      </c>
      <c r="E51" s="617" t="s">
        <v>4848</v>
      </c>
      <c r="F51" s="617" t="s">
        <v>26</v>
      </c>
      <c r="G51" s="624"/>
      <c r="H51" s="669">
        <v>43021</v>
      </c>
      <c r="I51" s="617" t="s">
        <v>4871</v>
      </c>
      <c r="J51" s="617" t="s">
        <v>26</v>
      </c>
      <c r="K51" s="624"/>
      <c r="L51" s="617" t="s">
        <v>65</v>
      </c>
      <c r="M51" s="622">
        <v>27450</v>
      </c>
      <c r="N51" s="622">
        <v>31400</v>
      </c>
      <c r="O51" s="622">
        <v>35300</v>
      </c>
      <c r="P51" s="622">
        <v>39200</v>
      </c>
      <c r="Q51" s="622">
        <v>42350</v>
      </c>
      <c r="R51" s="622">
        <v>45500</v>
      </c>
      <c r="S51" s="622">
        <v>48650</v>
      </c>
      <c r="T51" s="622">
        <v>51750</v>
      </c>
      <c r="U51" s="636">
        <f t="shared" si="0"/>
        <v>29425</v>
      </c>
      <c r="V51" s="636">
        <f t="shared" si="1"/>
        <v>40775</v>
      </c>
      <c r="W51" s="636">
        <f t="shared" si="2"/>
        <v>50200</v>
      </c>
      <c r="X51" s="624"/>
      <c r="Y51" s="624"/>
      <c r="Z51" s="624"/>
      <c r="AA51" s="624"/>
      <c r="AB51" s="663">
        <v>39005970200</v>
      </c>
      <c r="AC51" s="663" t="s">
        <v>4979</v>
      </c>
      <c r="AD51" s="663" t="s">
        <v>4950</v>
      </c>
      <c r="AE51" s="663" t="s">
        <v>4928</v>
      </c>
      <c r="AF51" s="663" t="s">
        <v>4929</v>
      </c>
    </row>
    <row r="52" spans="1:32" s="608" customFormat="1" x14ac:dyDescent="0.25">
      <c r="A52" s="624"/>
      <c r="B52" s="617">
        <v>39003014100</v>
      </c>
      <c r="C52" s="617" t="s">
        <v>1720</v>
      </c>
      <c r="D52" s="617" t="s">
        <v>25</v>
      </c>
      <c r="E52" s="617" t="s">
        <v>4848</v>
      </c>
      <c r="F52" s="617" t="s">
        <v>24</v>
      </c>
      <c r="G52" s="624"/>
      <c r="H52" s="669">
        <v>44026</v>
      </c>
      <c r="I52" s="617" t="s">
        <v>4869</v>
      </c>
      <c r="J52" s="617" t="s">
        <v>26</v>
      </c>
      <c r="K52" s="624"/>
      <c r="L52" s="617" t="s">
        <v>222</v>
      </c>
      <c r="M52" s="622">
        <v>28000</v>
      </c>
      <c r="N52" s="622">
        <v>32000</v>
      </c>
      <c r="O52" s="622">
        <v>36000</v>
      </c>
      <c r="P52" s="622">
        <v>39950</v>
      </c>
      <c r="Q52" s="622">
        <v>43150</v>
      </c>
      <c r="R52" s="622">
        <v>46350</v>
      </c>
      <c r="S52" s="622">
        <v>49550</v>
      </c>
      <c r="T52" s="622">
        <v>52750</v>
      </c>
      <c r="U52" s="636">
        <f t="shared" si="0"/>
        <v>30000</v>
      </c>
      <c r="V52" s="636">
        <f t="shared" si="1"/>
        <v>41550</v>
      </c>
      <c r="W52" s="636">
        <f t="shared" si="2"/>
        <v>51150</v>
      </c>
      <c r="X52" s="624"/>
      <c r="Y52" s="624"/>
      <c r="Z52" s="624"/>
      <c r="AA52" s="624"/>
      <c r="AB52" s="663">
        <v>39005970300</v>
      </c>
      <c r="AC52" s="663" t="s">
        <v>4980</v>
      </c>
      <c r="AD52" s="663" t="s">
        <v>4948</v>
      </c>
      <c r="AE52" s="663" t="s">
        <v>4942</v>
      </c>
      <c r="AF52" s="663" t="s">
        <v>4929</v>
      </c>
    </row>
    <row r="53" spans="1:32" s="608" customFormat="1" x14ac:dyDescent="0.25">
      <c r="A53" s="624"/>
      <c r="B53" s="617">
        <v>39005970101</v>
      </c>
      <c r="C53" s="617" t="s">
        <v>1721</v>
      </c>
      <c r="D53" s="617" t="s">
        <v>27</v>
      </c>
      <c r="E53" s="617" t="s">
        <v>1672</v>
      </c>
      <c r="F53" s="617" t="s">
        <v>26</v>
      </c>
      <c r="G53" s="624"/>
      <c r="H53" s="669">
        <v>41048</v>
      </c>
      <c r="I53" s="617" t="s">
        <v>4867</v>
      </c>
      <c r="J53" s="617" t="s">
        <v>26</v>
      </c>
      <c r="K53" s="624"/>
      <c r="L53" s="617" t="s">
        <v>66</v>
      </c>
      <c r="M53" s="622">
        <v>31650</v>
      </c>
      <c r="N53" s="622">
        <v>36200</v>
      </c>
      <c r="O53" s="622">
        <v>40700</v>
      </c>
      <c r="P53" s="622">
        <v>45200</v>
      </c>
      <c r="Q53" s="622">
        <v>48850</v>
      </c>
      <c r="R53" s="622">
        <v>52450</v>
      </c>
      <c r="S53" s="622">
        <v>56050</v>
      </c>
      <c r="T53" s="622">
        <v>59700</v>
      </c>
      <c r="U53" s="636">
        <f t="shared" si="0"/>
        <v>33925</v>
      </c>
      <c r="V53" s="636">
        <f t="shared" si="1"/>
        <v>47025</v>
      </c>
      <c r="W53" s="636">
        <f t="shared" si="2"/>
        <v>57875</v>
      </c>
      <c r="X53" s="624"/>
      <c r="Y53" s="624"/>
      <c r="Z53" s="624"/>
      <c r="AA53" s="624"/>
      <c r="AB53" s="663">
        <v>39005970400</v>
      </c>
      <c r="AC53" s="663" t="s">
        <v>4981</v>
      </c>
      <c r="AD53" s="663" t="s">
        <v>4950</v>
      </c>
      <c r="AE53" s="663" t="s">
        <v>4942</v>
      </c>
      <c r="AF53" s="663" t="s">
        <v>4929</v>
      </c>
    </row>
    <row r="54" spans="1:32" s="608" customFormat="1" x14ac:dyDescent="0.25">
      <c r="A54" s="624"/>
      <c r="B54" s="617">
        <v>39005970102</v>
      </c>
      <c r="C54" s="617" t="s">
        <v>1722</v>
      </c>
      <c r="D54" s="617" t="s">
        <v>27</v>
      </c>
      <c r="E54" s="617" t="s">
        <v>1672</v>
      </c>
      <c r="F54" s="617" t="s">
        <v>26</v>
      </c>
      <c r="G54" s="624"/>
      <c r="H54" s="669">
        <v>45249</v>
      </c>
      <c r="I54" s="617" t="s">
        <v>4867</v>
      </c>
      <c r="J54" s="617" t="s">
        <v>26</v>
      </c>
      <c r="K54" s="624"/>
      <c r="L54" s="617" t="s">
        <v>67</v>
      </c>
      <c r="M54" s="622">
        <v>24250</v>
      </c>
      <c r="N54" s="622">
        <v>27700</v>
      </c>
      <c r="O54" s="622">
        <v>31150</v>
      </c>
      <c r="P54" s="622">
        <v>34600</v>
      </c>
      <c r="Q54" s="622">
        <v>37400</v>
      </c>
      <c r="R54" s="622">
        <v>40150</v>
      </c>
      <c r="S54" s="622">
        <v>42950</v>
      </c>
      <c r="T54" s="622">
        <v>45700</v>
      </c>
      <c r="U54" s="636">
        <f t="shared" si="0"/>
        <v>25975</v>
      </c>
      <c r="V54" s="636">
        <f t="shared" si="1"/>
        <v>36000</v>
      </c>
      <c r="W54" s="636">
        <f t="shared" si="2"/>
        <v>44325</v>
      </c>
      <c r="X54" s="624"/>
      <c r="Y54" s="624"/>
      <c r="Z54" s="624"/>
      <c r="AA54" s="624"/>
      <c r="AB54" s="663">
        <v>39005970500</v>
      </c>
      <c r="AC54" s="663" t="s">
        <v>4982</v>
      </c>
      <c r="AD54" s="663" t="s">
        <v>4941</v>
      </c>
      <c r="AE54" s="663" t="s">
        <v>4934</v>
      </c>
      <c r="AF54" s="663" t="s">
        <v>4983</v>
      </c>
    </row>
    <row r="55" spans="1:32" s="608" customFormat="1" x14ac:dyDescent="0.25">
      <c r="A55" s="624"/>
      <c r="B55" s="617">
        <v>39005970200</v>
      </c>
      <c r="C55" s="617" t="s">
        <v>1723</v>
      </c>
      <c r="D55" s="617" t="s">
        <v>27</v>
      </c>
      <c r="E55" s="617" t="s">
        <v>1672</v>
      </c>
      <c r="F55" s="617" t="s">
        <v>26</v>
      </c>
      <c r="G55" s="624"/>
      <c r="H55" s="669">
        <v>44241</v>
      </c>
      <c r="I55" s="617" t="s">
        <v>4868</v>
      </c>
      <c r="J55" s="617" t="s">
        <v>26</v>
      </c>
      <c r="K55" s="624"/>
      <c r="L55" s="617" t="s">
        <v>68</v>
      </c>
      <c r="M55" s="622">
        <v>34750</v>
      </c>
      <c r="N55" s="622">
        <v>39700</v>
      </c>
      <c r="O55" s="622">
        <v>44650</v>
      </c>
      <c r="P55" s="622">
        <v>49600</v>
      </c>
      <c r="Q55" s="622">
        <v>53600</v>
      </c>
      <c r="R55" s="622">
        <v>57550</v>
      </c>
      <c r="S55" s="622">
        <v>61550</v>
      </c>
      <c r="T55" s="622">
        <v>65500</v>
      </c>
      <c r="U55" s="636">
        <f t="shared" si="0"/>
        <v>37225</v>
      </c>
      <c r="V55" s="636">
        <f t="shared" si="1"/>
        <v>51600</v>
      </c>
      <c r="W55" s="636">
        <f t="shared" si="2"/>
        <v>63525</v>
      </c>
      <c r="X55" s="624"/>
      <c r="Y55" s="624"/>
      <c r="Z55" s="624"/>
      <c r="AA55" s="624"/>
      <c r="AB55" s="663">
        <v>39005970600</v>
      </c>
      <c r="AC55" s="663" t="s">
        <v>4984</v>
      </c>
      <c r="AD55" s="663" t="s">
        <v>4938</v>
      </c>
      <c r="AE55" s="663" t="s">
        <v>4942</v>
      </c>
      <c r="AF55" s="663" t="s">
        <v>4929</v>
      </c>
    </row>
    <row r="56" spans="1:32" s="608" customFormat="1" x14ac:dyDescent="0.25">
      <c r="A56" s="624"/>
      <c r="B56" s="617">
        <v>39005970300</v>
      </c>
      <c r="C56" s="617" t="s">
        <v>1724</v>
      </c>
      <c r="D56" s="617" t="s">
        <v>27</v>
      </c>
      <c r="E56" s="617" t="s">
        <v>1672</v>
      </c>
      <c r="F56" s="617" t="s">
        <v>26</v>
      </c>
      <c r="G56" s="624"/>
      <c r="H56" s="669">
        <v>43155</v>
      </c>
      <c r="I56" s="617" t="s">
        <v>1675</v>
      </c>
      <c r="J56" s="617" t="s">
        <v>26</v>
      </c>
      <c r="K56" s="624"/>
      <c r="L56" s="617" t="s">
        <v>69</v>
      </c>
      <c r="M56" s="622">
        <v>29550</v>
      </c>
      <c r="N56" s="622">
        <v>33750</v>
      </c>
      <c r="O56" s="622">
        <v>37950</v>
      </c>
      <c r="P56" s="622">
        <v>42150</v>
      </c>
      <c r="Q56" s="622">
        <v>45550</v>
      </c>
      <c r="R56" s="622">
        <v>48900</v>
      </c>
      <c r="S56" s="622">
        <v>52300</v>
      </c>
      <c r="T56" s="622">
        <v>55650</v>
      </c>
      <c r="U56" s="636">
        <f t="shared" si="0"/>
        <v>31650</v>
      </c>
      <c r="V56" s="636">
        <f t="shared" si="1"/>
        <v>43850</v>
      </c>
      <c r="W56" s="636">
        <f t="shared" si="2"/>
        <v>53975</v>
      </c>
      <c r="X56" s="624"/>
      <c r="Y56" s="624"/>
      <c r="Z56" s="624"/>
      <c r="AA56" s="624"/>
      <c r="AB56" s="663">
        <v>39005970700</v>
      </c>
      <c r="AC56" s="663" t="s">
        <v>4985</v>
      </c>
      <c r="AD56" s="663" t="s">
        <v>4938</v>
      </c>
      <c r="AE56" s="663" t="s">
        <v>4934</v>
      </c>
      <c r="AF56" s="663" t="s">
        <v>4929</v>
      </c>
    </row>
    <row r="57" spans="1:32" s="608" customFormat="1" x14ac:dyDescent="0.25">
      <c r="A57" s="624"/>
      <c r="B57" s="617">
        <v>39005970400</v>
      </c>
      <c r="C57" s="617" t="s">
        <v>1725</v>
      </c>
      <c r="D57" s="617" t="s">
        <v>27</v>
      </c>
      <c r="E57" s="617" t="s">
        <v>1672</v>
      </c>
      <c r="F57" s="617" t="s">
        <v>26</v>
      </c>
      <c r="G57" s="624"/>
      <c r="H57" s="669">
        <v>45069</v>
      </c>
      <c r="I57" s="617" t="s">
        <v>4867</v>
      </c>
      <c r="J57" s="617" t="s">
        <v>26</v>
      </c>
      <c r="K57" s="624"/>
      <c r="L57" s="617" t="s">
        <v>70</v>
      </c>
      <c r="M57" s="622">
        <v>31650</v>
      </c>
      <c r="N57" s="622">
        <v>36200</v>
      </c>
      <c r="O57" s="622">
        <v>40700</v>
      </c>
      <c r="P57" s="622">
        <v>45200</v>
      </c>
      <c r="Q57" s="622">
        <v>48850</v>
      </c>
      <c r="R57" s="622">
        <v>52450</v>
      </c>
      <c r="S57" s="622">
        <v>56050</v>
      </c>
      <c r="T57" s="622">
        <v>59700</v>
      </c>
      <c r="U57" s="636">
        <f t="shared" si="0"/>
        <v>33925</v>
      </c>
      <c r="V57" s="636">
        <f t="shared" si="1"/>
        <v>47025</v>
      </c>
      <c r="W57" s="636">
        <f t="shared" si="2"/>
        <v>57875</v>
      </c>
      <c r="X57" s="624"/>
      <c r="Y57" s="624"/>
      <c r="Z57" s="624"/>
      <c r="AA57" s="624"/>
      <c r="AB57" s="663">
        <v>39005970800</v>
      </c>
      <c r="AC57" s="663" t="s">
        <v>4986</v>
      </c>
      <c r="AD57" s="663" t="s">
        <v>4938</v>
      </c>
      <c r="AE57" s="663" t="s">
        <v>4934</v>
      </c>
      <c r="AF57" s="663" t="s">
        <v>4929</v>
      </c>
    </row>
    <row r="58" spans="1:32" s="608" customFormat="1" x14ac:dyDescent="0.25">
      <c r="A58" s="624"/>
      <c r="B58" s="617">
        <v>39005970500</v>
      </c>
      <c r="C58" s="617" t="s">
        <v>1726</v>
      </c>
      <c r="D58" s="617" t="s">
        <v>27</v>
      </c>
      <c r="E58" s="617" t="s">
        <v>1672</v>
      </c>
      <c r="F58" s="617" t="s">
        <v>26</v>
      </c>
      <c r="G58" s="624"/>
      <c r="H58" s="669">
        <v>44333</v>
      </c>
      <c r="I58" s="617" t="s">
        <v>4868</v>
      </c>
      <c r="J58" s="617" t="s">
        <v>26</v>
      </c>
      <c r="K58" s="624"/>
      <c r="L58" s="617" t="s">
        <v>71</v>
      </c>
      <c r="M58" s="622">
        <v>28850</v>
      </c>
      <c r="N58" s="622">
        <v>33000</v>
      </c>
      <c r="O58" s="622">
        <v>37100</v>
      </c>
      <c r="P58" s="622">
        <v>41200</v>
      </c>
      <c r="Q58" s="622">
        <v>44500</v>
      </c>
      <c r="R58" s="622">
        <v>47800</v>
      </c>
      <c r="S58" s="622">
        <v>51100</v>
      </c>
      <c r="T58" s="622">
        <v>54400</v>
      </c>
      <c r="U58" s="636">
        <f t="shared" si="0"/>
        <v>30925</v>
      </c>
      <c r="V58" s="636">
        <f t="shared" si="1"/>
        <v>42850</v>
      </c>
      <c r="W58" s="636">
        <f t="shared" si="2"/>
        <v>52750</v>
      </c>
      <c r="X58" s="624"/>
      <c r="Y58" s="624"/>
      <c r="Z58" s="624"/>
      <c r="AA58" s="624"/>
      <c r="AB58" s="663">
        <v>39005970900</v>
      </c>
      <c r="AC58" s="663" t="s">
        <v>4987</v>
      </c>
      <c r="AD58" s="663" t="s">
        <v>4941</v>
      </c>
      <c r="AE58" s="663" t="s">
        <v>4931</v>
      </c>
      <c r="AF58" s="663" t="s">
        <v>4929</v>
      </c>
    </row>
    <row r="59" spans="1:32" s="608" customFormat="1" x14ac:dyDescent="0.25">
      <c r="A59" s="624"/>
      <c r="B59" s="617">
        <v>39005970600</v>
      </c>
      <c r="C59" s="617" t="s">
        <v>1727</v>
      </c>
      <c r="D59" s="617" t="s">
        <v>27</v>
      </c>
      <c r="E59" s="617" t="s">
        <v>1672</v>
      </c>
      <c r="F59" s="617" t="s">
        <v>26</v>
      </c>
      <c r="G59" s="624"/>
      <c r="H59" s="669">
        <v>43240</v>
      </c>
      <c r="I59" s="617" t="s">
        <v>4871</v>
      </c>
      <c r="J59" s="617" t="s">
        <v>26</v>
      </c>
      <c r="K59" s="624"/>
      <c r="L59" s="617" t="s">
        <v>72</v>
      </c>
      <c r="M59" s="622">
        <v>34750</v>
      </c>
      <c r="N59" s="622">
        <v>39700</v>
      </c>
      <c r="O59" s="622">
        <v>44650</v>
      </c>
      <c r="P59" s="622">
        <v>49600</v>
      </c>
      <c r="Q59" s="622">
        <v>53600</v>
      </c>
      <c r="R59" s="622">
        <v>57550</v>
      </c>
      <c r="S59" s="622">
        <v>61550</v>
      </c>
      <c r="T59" s="622">
        <v>65500</v>
      </c>
      <c r="U59" s="636">
        <f t="shared" si="0"/>
        <v>37225</v>
      </c>
      <c r="V59" s="636">
        <f t="shared" si="1"/>
        <v>51600</v>
      </c>
      <c r="W59" s="636">
        <f t="shared" si="2"/>
        <v>63525</v>
      </c>
      <c r="X59" s="624"/>
      <c r="Y59" s="624"/>
      <c r="Z59" s="624"/>
      <c r="AA59" s="624"/>
      <c r="AB59" s="663">
        <v>39005971000</v>
      </c>
      <c r="AC59" s="663" t="s">
        <v>4988</v>
      </c>
      <c r="AD59" s="663" t="s">
        <v>4948</v>
      </c>
      <c r="AE59" s="663" t="s">
        <v>4931</v>
      </c>
      <c r="AF59" s="663" t="s">
        <v>4929</v>
      </c>
    </row>
    <row r="60" spans="1:32" s="608" customFormat="1" x14ac:dyDescent="0.25">
      <c r="A60" s="624"/>
      <c r="B60" s="617">
        <v>39005970700</v>
      </c>
      <c r="C60" s="617" t="s">
        <v>1728</v>
      </c>
      <c r="D60" s="617" t="s">
        <v>27</v>
      </c>
      <c r="E60" s="617" t="s">
        <v>1672</v>
      </c>
      <c r="F60" s="617" t="s">
        <v>26</v>
      </c>
      <c r="G60" s="624"/>
      <c r="H60" s="669">
        <v>45252</v>
      </c>
      <c r="I60" s="617" t="s">
        <v>4867</v>
      </c>
      <c r="J60" s="617" t="s">
        <v>26</v>
      </c>
      <c r="K60" s="624"/>
      <c r="L60" s="617" t="s">
        <v>73</v>
      </c>
      <c r="M60" s="622">
        <v>27450</v>
      </c>
      <c r="N60" s="622">
        <v>31400</v>
      </c>
      <c r="O60" s="622">
        <v>35300</v>
      </c>
      <c r="P60" s="622">
        <v>39200</v>
      </c>
      <c r="Q60" s="622">
        <v>42350</v>
      </c>
      <c r="R60" s="622">
        <v>45500</v>
      </c>
      <c r="S60" s="622">
        <v>48650</v>
      </c>
      <c r="T60" s="622">
        <v>51750</v>
      </c>
      <c r="U60" s="636">
        <f t="shared" si="0"/>
        <v>29425</v>
      </c>
      <c r="V60" s="636">
        <f t="shared" si="1"/>
        <v>40775</v>
      </c>
      <c r="W60" s="636">
        <f t="shared" si="2"/>
        <v>50200</v>
      </c>
      <c r="X60" s="624"/>
      <c r="Y60" s="624"/>
      <c r="Z60" s="624"/>
      <c r="AA60" s="624"/>
      <c r="AB60" s="663">
        <v>39005971100</v>
      </c>
      <c r="AC60" s="663" t="s">
        <v>4989</v>
      </c>
      <c r="AD60" s="663" t="s">
        <v>4950</v>
      </c>
      <c r="AE60" s="663" t="s">
        <v>4934</v>
      </c>
      <c r="AF60" s="663" t="s">
        <v>4929</v>
      </c>
    </row>
    <row r="61" spans="1:32" s="608" customFormat="1" x14ac:dyDescent="0.25">
      <c r="A61" s="624"/>
      <c r="B61" s="617">
        <v>39005970800</v>
      </c>
      <c r="C61" s="617" t="s">
        <v>1729</v>
      </c>
      <c r="D61" s="617" t="s">
        <v>27</v>
      </c>
      <c r="E61" s="617" t="s">
        <v>1672</v>
      </c>
      <c r="F61" s="617" t="s">
        <v>26</v>
      </c>
      <c r="G61" s="624"/>
      <c r="H61" s="669">
        <v>43147</v>
      </c>
      <c r="I61" s="617" t="s">
        <v>4871</v>
      </c>
      <c r="J61" s="617" t="s">
        <v>26</v>
      </c>
      <c r="K61" s="624"/>
      <c r="L61" s="617" t="s">
        <v>74</v>
      </c>
      <c r="M61" s="622">
        <v>27450</v>
      </c>
      <c r="N61" s="622">
        <v>31400</v>
      </c>
      <c r="O61" s="622">
        <v>35300</v>
      </c>
      <c r="P61" s="622">
        <v>39200</v>
      </c>
      <c r="Q61" s="622">
        <v>42350</v>
      </c>
      <c r="R61" s="622">
        <v>45500</v>
      </c>
      <c r="S61" s="622">
        <v>48650</v>
      </c>
      <c r="T61" s="622">
        <v>51750</v>
      </c>
      <c r="U61" s="636">
        <f t="shared" si="0"/>
        <v>29425</v>
      </c>
      <c r="V61" s="636">
        <f t="shared" si="1"/>
        <v>40775</v>
      </c>
      <c r="W61" s="636">
        <f t="shared" si="2"/>
        <v>50200</v>
      </c>
      <c r="X61" s="624"/>
      <c r="Y61" s="624"/>
      <c r="Z61" s="624"/>
      <c r="AA61" s="624"/>
      <c r="AB61" s="663">
        <v>39007000101</v>
      </c>
      <c r="AC61" s="663" t="s">
        <v>4990</v>
      </c>
      <c r="AD61" s="663" t="s">
        <v>4948</v>
      </c>
      <c r="AE61" s="663" t="s">
        <v>4939</v>
      </c>
      <c r="AF61" s="663" t="s">
        <v>4929</v>
      </c>
    </row>
    <row r="62" spans="1:32" s="608" customFormat="1" x14ac:dyDescent="0.25">
      <c r="A62" s="624"/>
      <c r="B62" s="617">
        <v>39005970900</v>
      </c>
      <c r="C62" s="617" t="s">
        <v>1730</v>
      </c>
      <c r="D62" s="617" t="s">
        <v>27</v>
      </c>
      <c r="E62" s="617" t="s">
        <v>1672</v>
      </c>
      <c r="F62" s="617" t="s">
        <v>26</v>
      </c>
      <c r="G62" s="624"/>
      <c r="H62" s="669">
        <v>44056</v>
      </c>
      <c r="I62" s="617" t="s">
        <v>4868</v>
      </c>
      <c r="J62" s="617" t="s">
        <v>26</v>
      </c>
      <c r="K62" s="624"/>
      <c r="L62" s="617" t="s">
        <v>75</v>
      </c>
      <c r="M62" s="622">
        <v>31650</v>
      </c>
      <c r="N62" s="622">
        <v>36200</v>
      </c>
      <c r="O62" s="622">
        <v>40700</v>
      </c>
      <c r="P62" s="622">
        <v>45200</v>
      </c>
      <c r="Q62" s="622">
        <v>48850</v>
      </c>
      <c r="R62" s="622">
        <v>52450</v>
      </c>
      <c r="S62" s="622">
        <v>56050</v>
      </c>
      <c r="T62" s="622">
        <v>59700</v>
      </c>
      <c r="U62" s="636">
        <f t="shared" si="0"/>
        <v>33925</v>
      </c>
      <c r="V62" s="636">
        <f t="shared" si="1"/>
        <v>47025</v>
      </c>
      <c r="W62" s="636">
        <f t="shared" si="2"/>
        <v>57875</v>
      </c>
      <c r="X62" s="624"/>
      <c r="Y62" s="624"/>
      <c r="Z62" s="624"/>
      <c r="AA62" s="624"/>
      <c r="AB62" s="663">
        <v>39007000102</v>
      </c>
      <c r="AC62" s="663" t="s">
        <v>4991</v>
      </c>
      <c r="AD62" s="663" t="s">
        <v>4927</v>
      </c>
      <c r="AE62" s="663" t="s">
        <v>4928</v>
      </c>
      <c r="AF62" s="663" t="s">
        <v>4983</v>
      </c>
    </row>
    <row r="63" spans="1:32" s="608" customFormat="1" x14ac:dyDescent="0.25">
      <c r="A63" s="624"/>
      <c r="B63" s="617">
        <v>39005971000</v>
      </c>
      <c r="C63" s="617" t="s">
        <v>1731</v>
      </c>
      <c r="D63" s="617" t="s">
        <v>27</v>
      </c>
      <c r="E63" s="617" t="s">
        <v>1672</v>
      </c>
      <c r="F63" s="617" t="s">
        <v>26</v>
      </c>
      <c r="G63" s="624"/>
      <c r="H63" s="669">
        <v>44023</v>
      </c>
      <c r="I63" s="617" t="s">
        <v>4869</v>
      </c>
      <c r="J63" s="617" t="s">
        <v>26</v>
      </c>
      <c r="K63" s="624"/>
      <c r="L63" s="617" t="s">
        <v>76</v>
      </c>
      <c r="M63" s="622">
        <v>27450</v>
      </c>
      <c r="N63" s="622">
        <v>31400</v>
      </c>
      <c r="O63" s="622">
        <v>35300</v>
      </c>
      <c r="P63" s="622">
        <v>39200</v>
      </c>
      <c r="Q63" s="622">
        <v>42350</v>
      </c>
      <c r="R63" s="622">
        <v>45500</v>
      </c>
      <c r="S63" s="622">
        <v>48650</v>
      </c>
      <c r="T63" s="622">
        <v>51750</v>
      </c>
      <c r="U63" s="636">
        <f t="shared" si="0"/>
        <v>29425</v>
      </c>
      <c r="V63" s="636">
        <f t="shared" si="1"/>
        <v>40775</v>
      </c>
      <c r="W63" s="636">
        <f t="shared" si="2"/>
        <v>50200</v>
      </c>
      <c r="X63" s="624"/>
      <c r="Y63" s="624"/>
      <c r="Z63" s="624"/>
      <c r="AA63" s="624"/>
      <c r="AB63" s="663">
        <v>39007000103</v>
      </c>
      <c r="AC63" s="663" t="s">
        <v>4992</v>
      </c>
      <c r="AD63" s="663" t="s">
        <v>4927</v>
      </c>
      <c r="AE63" s="663" t="s">
        <v>4931</v>
      </c>
      <c r="AF63" s="663" t="s">
        <v>4983</v>
      </c>
    </row>
    <row r="64" spans="1:32" s="608" customFormat="1" x14ac:dyDescent="0.25">
      <c r="A64" s="624"/>
      <c r="B64" s="617">
        <v>39005971100</v>
      </c>
      <c r="C64" s="617" t="s">
        <v>1732</v>
      </c>
      <c r="D64" s="617" t="s">
        <v>27</v>
      </c>
      <c r="E64" s="617" t="s">
        <v>1672</v>
      </c>
      <c r="F64" s="617" t="s">
        <v>26</v>
      </c>
      <c r="G64" s="624"/>
      <c r="H64" s="669">
        <v>44675</v>
      </c>
      <c r="I64" s="617" t="s">
        <v>4874</v>
      </c>
      <c r="J64" s="617" t="s">
        <v>26</v>
      </c>
      <c r="K64" s="624"/>
      <c r="L64" s="617" t="s">
        <v>77</v>
      </c>
      <c r="M64" s="622">
        <v>29850</v>
      </c>
      <c r="N64" s="622">
        <v>34100</v>
      </c>
      <c r="O64" s="622">
        <v>38350</v>
      </c>
      <c r="P64" s="622">
        <v>42600</v>
      </c>
      <c r="Q64" s="622">
        <v>46050</v>
      </c>
      <c r="R64" s="622">
        <v>49450</v>
      </c>
      <c r="S64" s="622">
        <v>52850</v>
      </c>
      <c r="T64" s="622">
        <v>56250</v>
      </c>
      <c r="U64" s="636">
        <f t="shared" si="0"/>
        <v>31975</v>
      </c>
      <c r="V64" s="636">
        <f t="shared" si="1"/>
        <v>44325</v>
      </c>
      <c r="W64" s="636">
        <f t="shared" si="2"/>
        <v>54550</v>
      </c>
      <c r="X64" s="624"/>
      <c r="Y64" s="624"/>
      <c r="Z64" s="624"/>
      <c r="AA64" s="624"/>
      <c r="AB64" s="663">
        <v>39007000200</v>
      </c>
      <c r="AC64" s="663" t="s">
        <v>4993</v>
      </c>
      <c r="AD64" s="663" t="s">
        <v>4941</v>
      </c>
      <c r="AE64" s="663" t="s">
        <v>4934</v>
      </c>
      <c r="AF64" s="663" t="s">
        <v>4929</v>
      </c>
    </row>
    <row r="65" spans="1:32" s="608" customFormat="1" x14ac:dyDescent="0.25">
      <c r="A65" s="624"/>
      <c r="B65" s="617">
        <v>39007000101</v>
      </c>
      <c r="C65" s="617" t="s">
        <v>1733</v>
      </c>
      <c r="D65" s="617" t="s">
        <v>28</v>
      </c>
      <c r="E65" s="617" t="s">
        <v>1672</v>
      </c>
      <c r="F65" s="617" t="s">
        <v>26</v>
      </c>
      <c r="G65" s="624"/>
      <c r="H65" s="669">
        <v>45066</v>
      </c>
      <c r="I65" s="617" t="s">
        <v>4867</v>
      </c>
      <c r="J65" s="617" t="s">
        <v>26</v>
      </c>
      <c r="K65" s="624"/>
      <c r="L65" s="617" t="s">
        <v>78</v>
      </c>
      <c r="M65" s="622">
        <v>31150</v>
      </c>
      <c r="N65" s="622">
        <v>35600</v>
      </c>
      <c r="O65" s="622">
        <v>40050</v>
      </c>
      <c r="P65" s="622">
        <v>44500</v>
      </c>
      <c r="Q65" s="622">
        <v>48100</v>
      </c>
      <c r="R65" s="622">
        <v>51650</v>
      </c>
      <c r="S65" s="622">
        <v>55200</v>
      </c>
      <c r="T65" s="622">
        <v>58750</v>
      </c>
      <c r="U65" s="636">
        <f t="shared" si="0"/>
        <v>33375</v>
      </c>
      <c r="V65" s="636">
        <f t="shared" si="1"/>
        <v>46300</v>
      </c>
      <c r="W65" s="636">
        <f t="shared" si="2"/>
        <v>56975</v>
      </c>
      <c r="X65" s="624"/>
      <c r="Y65" s="624"/>
      <c r="Z65" s="624"/>
      <c r="AA65" s="624"/>
      <c r="AB65" s="663">
        <v>39007000300</v>
      </c>
      <c r="AC65" s="663" t="s">
        <v>4994</v>
      </c>
      <c r="AD65" s="663" t="s">
        <v>4948</v>
      </c>
      <c r="AE65" s="663" t="s">
        <v>4939</v>
      </c>
      <c r="AF65" s="663" t="s">
        <v>4929</v>
      </c>
    </row>
    <row r="66" spans="1:32" s="608" customFormat="1" x14ac:dyDescent="0.25">
      <c r="A66" s="624"/>
      <c r="B66" s="617">
        <v>39007000102</v>
      </c>
      <c r="C66" s="617" t="s">
        <v>1734</v>
      </c>
      <c r="D66" s="617" t="s">
        <v>28</v>
      </c>
      <c r="E66" s="617" t="s">
        <v>1672</v>
      </c>
      <c r="F66" s="617" t="s">
        <v>26</v>
      </c>
      <c r="G66" s="624"/>
      <c r="H66" s="669">
        <v>45111</v>
      </c>
      <c r="I66" s="617" t="s">
        <v>4867</v>
      </c>
      <c r="J66" s="617" t="s">
        <v>26</v>
      </c>
      <c r="K66" s="624"/>
      <c r="L66" s="617" t="s">
        <v>79</v>
      </c>
      <c r="M66" s="622">
        <v>27450</v>
      </c>
      <c r="N66" s="622">
        <v>31400</v>
      </c>
      <c r="O66" s="622">
        <v>35300</v>
      </c>
      <c r="P66" s="622">
        <v>39200</v>
      </c>
      <c r="Q66" s="622">
        <v>42350</v>
      </c>
      <c r="R66" s="622">
        <v>45500</v>
      </c>
      <c r="S66" s="622">
        <v>48650</v>
      </c>
      <c r="T66" s="622">
        <v>51750</v>
      </c>
      <c r="U66" s="636">
        <f t="shared" si="0"/>
        <v>29425</v>
      </c>
      <c r="V66" s="636">
        <f t="shared" si="1"/>
        <v>40775</v>
      </c>
      <c r="W66" s="636">
        <f t="shared" si="2"/>
        <v>50200</v>
      </c>
      <c r="X66" s="624"/>
      <c r="Y66" s="624"/>
      <c r="Z66" s="624"/>
      <c r="AA66" s="624"/>
      <c r="AB66" s="663">
        <v>39007000400</v>
      </c>
      <c r="AC66" s="663" t="s">
        <v>4995</v>
      </c>
      <c r="AD66" s="663" t="s">
        <v>4927</v>
      </c>
      <c r="AE66" s="663" t="s">
        <v>4934</v>
      </c>
      <c r="AF66" s="663" t="s">
        <v>4983</v>
      </c>
    </row>
    <row r="67" spans="1:32" s="608" customFormat="1" x14ac:dyDescent="0.25">
      <c r="A67" s="624"/>
      <c r="B67" s="617">
        <v>39007000103</v>
      </c>
      <c r="C67" s="617" t="s">
        <v>1735</v>
      </c>
      <c r="D67" s="617" t="s">
        <v>28</v>
      </c>
      <c r="E67" s="617" t="s">
        <v>1672</v>
      </c>
      <c r="F67" s="617" t="s">
        <v>24</v>
      </c>
      <c r="G67" s="624"/>
      <c r="H67" s="669">
        <v>43551</v>
      </c>
      <c r="I67" s="617" t="s">
        <v>4872</v>
      </c>
      <c r="J67" s="617" t="s">
        <v>26</v>
      </c>
      <c r="K67" s="624"/>
      <c r="L67" s="617" t="s">
        <v>80</v>
      </c>
      <c r="M67" s="622">
        <v>31150</v>
      </c>
      <c r="N67" s="622">
        <v>35600</v>
      </c>
      <c r="O67" s="622">
        <v>40050</v>
      </c>
      <c r="P67" s="622">
        <v>44500</v>
      </c>
      <c r="Q67" s="622">
        <v>48100</v>
      </c>
      <c r="R67" s="622">
        <v>51650</v>
      </c>
      <c r="S67" s="622">
        <v>55200</v>
      </c>
      <c r="T67" s="622">
        <v>58750</v>
      </c>
      <c r="U67" s="636">
        <f t="shared" si="0"/>
        <v>33375</v>
      </c>
      <c r="V67" s="636">
        <f t="shared" si="1"/>
        <v>46300</v>
      </c>
      <c r="W67" s="636">
        <f t="shared" si="2"/>
        <v>56975</v>
      </c>
      <c r="X67" s="624"/>
      <c r="Y67" s="624"/>
      <c r="Z67" s="624"/>
      <c r="AA67" s="624"/>
      <c r="AB67" s="663">
        <v>39007000500</v>
      </c>
      <c r="AC67" s="663" t="s">
        <v>4996</v>
      </c>
      <c r="AD67" s="663" t="s">
        <v>4950</v>
      </c>
      <c r="AE67" s="663" t="s">
        <v>4931</v>
      </c>
      <c r="AF67" s="663" t="s">
        <v>4929</v>
      </c>
    </row>
    <row r="68" spans="1:32" s="608" customFormat="1" x14ac:dyDescent="0.25">
      <c r="A68" s="624"/>
      <c r="B68" s="617">
        <v>39007000200</v>
      </c>
      <c r="C68" s="617" t="s">
        <v>1736</v>
      </c>
      <c r="D68" s="617" t="s">
        <v>28</v>
      </c>
      <c r="E68" s="617" t="s">
        <v>1672</v>
      </c>
      <c r="F68" s="617" t="s">
        <v>26</v>
      </c>
      <c r="G68" s="624"/>
      <c r="H68" s="669">
        <v>45896</v>
      </c>
      <c r="I68" s="617" t="s">
        <v>4875</v>
      </c>
      <c r="J68" s="617" t="s">
        <v>26</v>
      </c>
      <c r="K68" s="624"/>
      <c r="L68" s="617" t="s">
        <v>81</v>
      </c>
      <c r="M68" s="622">
        <v>27450</v>
      </c>
      <c r="N68" s="622">
        <v>31400</v>
      </c>
      <c r="O68" s="622">
        <v>35300</v>
      </c>
      <c r="P68" s="622">
        <v>39200</v>
      </c>
      <c r="Q68" s="622">
        <v>42350</v>
      </c>
      <c r="R68" s="622">
        <v>45500</v>
      </c>
      <c r="S68" s="622">
        <v>48650</v>
      </c>
      <c r="T68" s="622">
        <v>51750</v>
      </c>
      <c r="U68" s="636">
        <f t="shared" si="0"/>
        <v>29425</v>
      </c>
      <c r="V68" s="636">
        <f t="shared" si="1"/>
        <v>40775</v>
      </c>
      <c r="W68" s="636">
        <f t="shared" si="2"/>
        <v>50200</v>
      </c>
      <c r="X68" s="624"/>
      <c r="Y68" s="624"/>
      <c r="Z68" s="624"/>
      <c r="AA68" s="624"/>
      <c r="AB68" s="663">
        <v>39007000601</v>
      </c>
      <c r="AC68" s="663" t="s">
        <v>4997</v>
      </c>
      <c r="AD68" s="663" t="s">
        <v>4927</v>
      </c>
      <c r="AE68" s="663" t="s">
        <v>4942</v>
      </c>
      <c r="AF68" s="663" t="s">
        <v>4983</v>
      </c>
    </row>
    <row r="69" spans="1:32" s="608" customFormat="1" x14ac:dyDescent="0.25">
      <c r="A69" s="624"/>
      <c r="B69" s="617">
        <v>39007000300</v>
      </c>
      <c r="C69" s="617" t="s">
        <v>1737</v>
      </c>
      <c r="D69" s="617" t="s">
        <v>28</v>
      </c>
      <c r="E69" s="617" t="s">
        <v>1672</v>
      </c>
      <c r="F69" s="617" t="s">
        <v>26</v>
      </c>
      <c r="G69" s="624"/>
      <c r="H69" s="669">
        <v>44040</v>
      </c>
      <c r="I69" s="617" t="s">
        <v>4869</v>
      </c>
      <c r="J69" s="617" t="s">
        <v>26</v>
      </c>
      <c r="K69" s="624"/>
      <c r="L69" s="617" t="s">
        <v>82</v>
      </c>
      <c r="M69" s="622">
        <v>34750</v>
      </c>
      <c r="N69" s="622">
        <v>39700</v>
      </c>
      <c r="O69" s="622">
        <v>44650</v>
      </c>
      <c r="P69" s="622">
        <v>49600</v>
      </c>
      <c r="Q69" s="622">
        <v>53600</v>
      </c>
      <c r="R69" s="622">
        <v>57550</v>
      </c>
      <c r="S69" s="622">
        <v>61550</v>
      </c>
      <c r="T69" s="622">
        <v>65500</v>
      </c>
      <c r="U69" s="636">
        <f t="shared" si="0"/>
        <v>37225</v>
      </c>
      <c r="V69" s="636">
        <f t="shared" si="1"/>
        <v>51600</v>
      </c>
      <c r="W69" s="636">
        <f t="shared" si="2"/>
        <v>63525</v>
      </c>
      <c r="X69" s="624"/>
      <c r="Y69" s="624"/>
      <c r="Z69" s="624"/>
      <c r="AA69" s="624"/>
      <c r="AB69" s="663">
        <v>39007000602</v>
      </c>
      <c r="AC69" s="663" t="s">
        <v>4998</v>
      </c>
      <c r="AD69" s="663" t="s">
        <v>4927</v>
      </c>
      <c r="AE69" s="663" t="s">
        <v>4928</v>
      </c>
      <c r="AF69" s="663" t="s">
        <v>4983</v>
      </c>
    </row>
    <row r="70" spans="1:32" s="608" customFormat="1" x14ac:dyDescent="0.25">
      <c r="A70" s="624"/>
      <c r="B70" s="617">
        <v>39007000400</v>
      </c>
      <c r="C70" s="617" t="s">
        <v>1738</v>
      </c>
      <c r="D70" s="617" t="s">
        <v>28</v>
      </c>
      <c r="E70" s="617" t="s">
        <v>1672</v>
      </c>
      <c r="F70" s="617" t="s">
        <v>24</v>
      </c>
      <c r="G70" s="624"/>
      <c r="H70" s="669">
        <v>43221</v>
      </c>
      <c r="I70" s="617" t="s">
        <v>4871</v>
      </c>
      <c r="J70" s="617" t="s">
        <v>26</v>
      </c>
      <c r="K70" s="624"/>
      <c r="L70" s="617" t="s">
        <v>83</v>
      </c>
      <c r="M70" s="622">
        <v>27450</v>
      </c>
      <c r="N70" s="622">
        <v>31400</v>
      </c>
      <c r="O70" s="622">
        <v>35300</v>
      </c>
      <c r="P70" s="622">
        <v>39200</v>
      </c>
      <c r="Q70" s="622">
        <v>42350</v>
      </c>
      <c r="R70" s="622">
        <v>45500</v>
      </c>
      <c r="S70" s="622">
        <v>48650</v>
      </c>
      <c r="T70" s="622">
        <v>51750</v>
      </c>
      <c r="U70" s="636">
        <f t="shared" si="0"/>
        <v>29425</v>
      </c>
      <c r="V70" s="636">
        <f t="shared" si="1"/>
        <v>40775</v>
      </c>
      <c r="W70" s="636">
        <f t="shared" si="2"/>
        <v>50200</v>
      </c>
      <c r="X70" s="624"/>
      <c r="Y70" s="624"/>
      <c r="Z70" s="624"/>
      <c r="AA70" s="624"/>
      <c r="AB70" s="663">
        <v>39007000603</v>
      </c>
      <c r="AC70" s="663" t="s">
        <v>4999</v>
      </c>
      <c r="AD70" s="663" t="s">
        <v>4950</v>
      </c>
      <c r="AE70" s="663" t="s">
        <v>4942</v>
      </c>
      <c r="AF70" s="663" t="s">
        <v>4929</v>
      </c>
    </row>
    <row r="71" spans="1:32" s="608" customFormat="1" x14ac:dyDescent="0.25">
      <c r="A71" s="624"/>
      <c r="B71" s="617">
        <v>39007000500</v>
      </c>
      <c r="C71" s="617" t="s">
        <v>1739</v>
      </c>
      <c r="D71" s="617" t="s">
        <v>28</v>
      </c>
      <c r="E71" s="617" t="s">
        <v>1672</v>
      </c>
      <c r="F71" s="617" t="s">
        <v>26</v>
      </c>
      <c r="G71" s="624"/>
      <c r="H71" s="669">
        <v>45147</v>
      </c>
      <c r="I71" s="617" t="s">
        <v>4867</v>
      </c>
      <c r="J71" s="617" t="s">
        <v>26</v>
      </c>
      <c r="K71" s="624"/>
      <c r="L71" s="617" t="s">
        <v>84</v>
      </c>
      <c r="M71" s="622">
        <v>27450</v>
      </c>
      <c r="N71" s="622">
        <v>31400</v>
      </c>
      <c r="O71" s="622">
        <v>35300</v>
      </c>
      <c r="P71" s="622">
        <v>39200</v>
      </c>
      <c r="Q71" s="622">
        <v>42350</v>
      </c>
      <c r="R71" s="622">
        <v>45500</v>
      </c>
      <c r="S71" s="622">
        <v>48650</v>
      </c>
      <c r="T71" s="622">
        <v>51750</v>
      </c>
      <c r="U71" s="636">
        <f t="shared" si="0"/>
        <v>29425</v>
      </c>
      <c r="V71" s="636">
        <f t="shared" si="1"/>
        <v>40775</v>
      </c>
      <c r="W71" s="636">
        <f t="shared" si="2"/>
        <v>50200</v>
      </c>
      <c r="X71" s="624"/>
      <c r="Y71" s="624"/>
      <c r="Z71" s="624"/>
      <c r="AA71" s="624"/>
      <c r="AB71" s="663">
        <v>39007000701</v>
      </c>
      <c r="AC71" s="663" t="s">
        <v>5000</v>
      </c>
      <c r="AD71" s="663" t="s">
        <v>4927</v>
      </c>
      <c r="AE71" s="663" t="s">
        <v>4942</v>
      </c>
      <c r="AF71" s="663" t="s">
        <v>4929</v>
      </c>
    </row>
    <row r="72" spans="1:32" s="608" customFormat="1" x14ac:dyDescent="0.25">
      <c r="A72" s="624"/>
      <c r="B72" s="617">
        <v>39007000601</v>
      </c>
      <c r="C72" s="617" t="s">
        <v>1740</v>
      </c>
      <c r="D72" s="617" t="s">
        <v>28</v>
      </c>
      <c r="E72" s="617" t="s">
        <v>1672</v>
      </c>
      <c r="F72" s="617" t="s">
        <v>24</v>
      </c>
      <c r="G72" s="624"/>
      <c r="H72" s="669">
        <v>43412</v>
      </c>
      <c r="I72" s="617" t="s">
        <v>4872</v>
      </c>
      <c r="J72" s="617" t="s">
        <v>26</v>
      </c>
      <c r="K72" s="624"/>
      <c r="L72" s="617" t="s">
        <v>85</v>
      </c>
      <c r="M72" s="622">
        <v>31500</v>
      </c>
      <c r="N72" s="622">
        <v>36000</v>
      </c>
      <c r="O72" s="622">
        <v>40500</v>
      </c>
      <c r="P72" s="622">
        <v>44950</v>
      </c>
      <c r="Q72" s="622">
        <v>48550</v>
      </c>
      <c r="R72" s="622">
        <v>52150</v>
      </c>
      <c r="S72" s="622">
        <v>55750</v>
      </c>
      <c r="T72" s="622">
        <v>59350</v>
      </c>
      <c r="U72" s="636">
        <f t="shared" si="0"/>
        <v>33750</v>
      </c>
      <c r="V72" s="636">
        <f t="shared" si="1"/>
        <v>46750</v>
      </c>
      <c r="W72" s="636">
        <f t="shared" si="2"/>
        <v>57550</v>
      </c>
      <c r="X72" s="624"/>
      <c r="Y72" s="624"/>
      <c r="Z72" s="624"/>
      <c r="AA72" s="624"/>
      <c r="AB72" s="663">
        <v>39007000702</v>
      </c>
      <c r="AC72" s="663" t="s">
        <v>5001</v>
      </c>
      <c r="AD72" s="663" t="s">
        <v>4927</v>
      </c>
      <c r="AE72" s="663" t="s">
        <v>4934</v>
      </c>
      <c r="AF72" s="663" t="s">
        <v>4929</v>
      </c>
    </row>
    <row r="73" spans="1:32" s="608" customFormat="1" x14ac:dyDescent="0.25">
      <c r="A73" s="624"/>
      <c r="B73" s="617">
        <v>39007000602</v>
      </c>
      <c r="C73" s="617" t="s">
        <v>1741</v>
      </c>
      <c r="D73" s="617" t="s">
        <v>28</v>
      </c>
      <c r="E73" s="617" t="s">
        <v>1672</v>
      </c>
      <c r="F73" s="617" t="s">
        <v>26</v>
      </c>
      <c r="G73" s="624"/>
      <c r="H73" s="669">
        <v>45387</v>
      </c>
      <c r="I73" s="617" t="s">
        <v>4876</v>
      </c>
      <c r="J73" s="617" t="s">
        <v>26</v>
      </c>
      <c r="K73" s="624"/>
      <c r="L73" s="617" t="s">
        <v>86</v>
      </c>
      <c r="M73" s="622">
        <v>27800</v>
      </c>
      <c r="N73" s="622">
        <v>31750</v>
      </c>
      <c r="O73" s="622">
        <v>35700</v>
      </c>
      <c r="P73" s="622">
        <v>39650</v>
      </c>
      <c r="Q73" s="622">
        <v>42850</v>
      </c>
      <c r="R73" s="622">
        <v>46000</v>
      </c>
      <c r="S73" s="622">
        <v>49200</v>
      </c>
      <c r="T73" s="622">
        <v>52350</v>
      </c>
      <c r="U73" s="636">
        <f t="shared" si="0"/>
        <v>29775</v>
      </c>
      <c r="V73" s="636">
        <f t="shared" si="1"/>
        <v>41250</v>
      </c>
      <c r="W73" s="636">
        <f t="shared" si="2"/>
        <v>50775</v>
      </c>
      <c r="X73" s="624"/>
      <c r="Y73" s="624"/>
      <c r="Z73" s="624"/>
      <c r="AA73" s="624"/>
      <c r="AB73" s="663">
        <v>39007000703</v>
      </c>
      <c r="AC73" s="663" t="s">
        <v>5002</v>
      </c>
      <c r="AD73" s="663" t="s">
        <v>4927</v>
      </c>
      <c r="AE73" s="663" t="s">
        <v>4928</v>
      </c>
      <c r="AF73" s="663" t="s">
        <v>4929</v>
      </c>
    </row>
    <row r="74" spans="1:32" s="608" customFormat="1" x14ac:dyDescent="0.25">
      <c r="A74" s="624"/>
      <c r="B74" s="617">
        <v>39007000603</v>
      </c>
      <c r="C74" s="617" t="s">
        <v>1742</v>
      </c>
      <c r="D74" s="617" t="s">
        <v>28</v>
      </c>
      <c r="E74" s="617" t="s">
        <v>1672</v>
      </c>
      <c r="F74" s="617" t="s">
        <v>26</v>
      </c>
      <c r="G74" s="624"/>
      <c r="H74" s="669">
        <v>44067</v>
      </c>
      <c r="I74" s="617" t="s">
        <v>4868</v>
      </c>
      <c r="J74" s="617" t="s">
        <v>26</v>
      </c>
      <c r="K74" s="624"/>
      <c r="L74" s="617" t="s">
        <v>87</v>
      </c>
      <c r="M74" s="622">
        <v>27450</v>
      </c>
      <c r="N74" s="622">
        <v>31400</v>
      </c>
      <c r="O74" s="622">
        <v>35300</v>
      </c>
      <c r="P74" s="622">
        <v>39200</v>
      </c>
      <c r="Q74" s="622">
        <v>42350</v>
      </c>
      <c r="R74" s="622">
        <v>45500</v>
      </c>
      <c r="S74" s="622">
        <v>48650</v>
      </c>
      <c r="T74" s="622">
        <v>51750</v>
      </c>
      <c r="U74" s="636">
        <f t="shared" si="0"/>
        <v>29425</v>
      </c>
      <c r="V74" s="636">
        <f t="shared" si="1"/>
        <v>40775</v>
      </c>
      <c r="W74" s="636">
        <f t="shared" si="2"/>
        <v>50200</v>
      </c>
      <c r="X74" s="624"/>
      <c r="Y74" s="624"/>
      <c r="Z74" s="624"/>
      <c r="AA74" s="624"/>
      <c r="AB74" s="663">
        <v>39007000704</v>
      </c>
      <c r="AC74" s="663" t="s">
        <v>5003</v>
      </c>
      <c r="AD74" s="663" t="s">
        <v>4927</v>
      </c>
      <c r="AE74" s="663" t="s">
        <v>4942</v>
      </c>
      <c r="AF74" s="663" t="s">
        <v>4929</v>
      </c>
    </row>
    <row r="75" spans="1:32" s="608" customFormat="1" x14ac:dyDescent="0.25">
      <c r="A75" s="624"/>
      <c r="B75" s="617">
        <v>39007000701</v>
      </c>
      <c r="C75" s="617" t="s">
        <v>1743</v>
      </c>
      <c r="D75" s="617" t="s">
        <v>28</v>
      </c>
      <c r="E75" s="617" t="s">
        <v>1672</v>
      </c>
      <c r="F75" s="617" t="s">
        <v>24</v>
      </c>
      <c r="G75" s="624"/>
      <c r="H75" s="669">
        <v>45431</v>
      </c>
      <c r="I75" s="617" t="s">
        <v>4870</v>
      </c>
      <c r="J75" s="617" t="s">
        <v>26</v>
      </c>
      <c r="K75" s="624"/>
      <c r="L75" s="617" t="s">
        <v>88</v>
      </c>
      <c r="M75" s="622">
        <v>34750</v>
      </c>
      <c r="N75" s="622">
        <v>39700</v>
      </c>
      <c r="O75" s="622">
        <v>44650</v>
      </c>
      <c r="P75" s="622">
        <v>49600</v>
      </c>
      <c r="Q75" s="622">
        <v>53600</v>
      </c>
      <c r="R75" s="622">
        <v>57550</v>
      </c>
      <c r="S75" s="622">
        <v>61550</v>
      </c>
      <c r="T75" s="622">
        <v>65500</v>
      </c>
      <c r="U75" s="636">
        <f t="shared" si="0"/>
        <v>37225</v>
      </c>
      <c r="V75" s="636">
        <f t="shared" si="1"/>
        <v>51600</v>
      </c>
      <c r="W75" s="636">
        <f t="shared" si="2"/>
        <v>63525</v>
      </c>
      <c r="X75" s="624"/>
      <c r="Y75" s="624"/>
      <c r="Z75" s="624"/>
      <c r="AA75" s="624"/>
      <c r="AB75" s="663">
        <v>39007000801</v>
      </c>
      <c r="AC75" s="663" t="s">
        <v>5004</v>
      </c>
      <c r="AD75" s="663" t="s">
        <v>4927</v>
      </c>
      <c r="AE75" s="663" t="s">
        <v>4931</v>
      </c>
      <c r="AF75" s="663" t="s">
        <v>4929</v>
      </c>
    </row>
    <row r="76" spans="1:32" s="608" customFormat="1" x14ac:dyDescent="0.25">
      <c r="A76" s="624"/>
      <c r="B76" s="617">
        <v>39007000702</v>
      </c>
      <c r="C76" s="617" t="s">
        <v>1744</v>
      </c>
      <c r="D76" s="617" t="s">
        <v>28</v>
      </c>
      <c r="E76" s="617" t="s">
        <v>1672</v>
      </c>
      <c r="F76" s="617" t="s">
        <v>26</v>
      </c>
      <c r="G76" s="624"/>
      <c r="H76" s="669">
        <v>45140</v>
      </c>
      <c r="I76" s="617" t="s">
        <v>4867</v>
      </c>
      <c r="J76" s="617" t="s">
        <v>26</v>
      </c>
      <c r="K76" s="624"/>
      <c r="L76" s="617" t="s">
        <v>89</v>
      </c>
      <c r="M76" s="622">
        <v>27450</v>
      </c>
      <c r="N76" s="622">
        <v>31400</v>
      </c>
      <c r="O76" s="622">
        <v>35300</v>
      </c>
      <c r="P76" s="622">
        <v>39200</v>
      </c>
      <c r="Q76" s="622">
        <v>42350</v>
      </c>
      <c r="R76" s="622">
        <v>45500</v>
      </c>
      <c r="S76" s="622">
        <v>48650</v>
      </c>
      <c r="T76" s="622">
        <v>51750</v>
      </c>
      <c r="U76" s="636">
        <f t="shared" ref="U76:U98" si="3">SUM(M76,N76)/2</f>
        <v>29425</v>
      </c>
      <c r="V76" s="636">
        <f t="shared" ref="V76:V98" si="4">SUM(P76,Q76)/2</f>
        <v>40775</v>
      </c>
      <c r="W76" s="636">
        <f t="shared" ref="W76:W98" si="5">SUM(S76,T76)/2</f>
        <v>50200</v>
      </c>
      <c r="X76" s="624"/>
      <c r="Y76" s="624"/>
      <c r="Z76" s="624"/>
      <c r="AA76" s="624"/>
      <c r="AB76" s="663">
        <v>39007000802</v>
      </c>
      <c r="AC76" s="663" t="s">
        <v>5005</v>
      </c>
      <c r="AD76" s="663" t="s">
        <v>4927</v>
      </c>
      <c r="AE76" s="663" t="s">
        <v>5006</v>
      </c>
      <c r="AF76" s="663" t="s">
        <v>4929</v>
      </c>
    </row>
    <row r="77" spans="1:32" s="608" customFormat="1" x14ac:dyDescent="0.25">
      <c r="A77" s="624"/>
      <c r="B77" s="617">
        <v>39007000703</v>
      </c>
      <c r="C77" s="617" t="s">
        <v>1745</v>
      </c>
      <c r="D77" s="617" t="s">
        <v>28</v>
      </c>
      <c r="E77" s="617" t="s">
        <v>1672</v>
      </c>
      <c r="F77" s="617" t="s">
        <v>24</v>
      </c>
      <c r="G77" s="624"/>
      <c r="H77" s="669">
        <v>45152</v>
      </c>
      <c r="I77" s="617" t="s">
        <v>4867</v>
      </c>
      <c r="J77" s="617" t="s">
        <v>26</v>
      </c>
      <c r="K77" s="624"/>
      <c r="L77" s="617" t="s">
        <v>90</v>
      </c>
      <c r="M77" s="622">
        <v>30400</v>
      </c>
      <c r="N77" s="622">
        <v>34750</v>
      </c>
      <c r="O77" s="622">
        <v>39100</v>
      </c>
      <c r="P77" s="622">
        <v>43400</v>
      </c>
      <c r="Q77" s="622">
        <v>46900</v>
      </c>
      <c r="R77" s="622">
        <v>50350</v>
      </c>
      <c r="S77" s="622">
        <v>53850</v>
      </c>
      <c r="T77" s="622">
        <v>57300</v>
      </c>
      <c r="U77" s="636">
        <f t="shared" si="3"/>
        <v>32575</v>
      </c>
      <c r="V77" s="636">
        <f t="shared" si="4"/>
        <v>45150</v>
      </c>
      <c r="W77" s="636">
        <f t="shared" si="5"/>
        <v>55575</v>
      </c>
      <c r="X77" s="624"/>
      <c r="Y77" s="624"/>
      <c r="Z77" s="624"/>
      <c r="AA77" s="624"/>
      <c r="AB77" s="663">
        <v>39007000900</v>
      </c>
      <c r="AC77" s="663" t="s">
        <v>5007</v>
      </c>
      <c r="AD77" s="663" t="s">
        <v>4950</v>
      </c>
      <c r="AE77" s="663" t="s">
        <v>4928</v>
      </c>
      <c r="AF77" s="663" t="s">
        <v>4929</v>
      </c>
    </row>
    <row r="78" spans="1:32" s="608" customFormat="1" x14ac:dyDescent="0.25">
      <c r="A78" s="624"/>
      <c r="B78" s="617">
        <v>39007000704</v>
      </c>
      <c r="C78" s="617" t="s">
        <v>1746</v>
      </c>
      <c r="D78" s="617" t="s">
        <v>28</v>
      </c>
      <c r="E78" s="617" t="s">
        <v>1672</v>
      </c>
      <c r="F78" s="617" t="s">
        <v>26</v>
      </c>
      <c r="G78" s="624"/>
      <c r="H78" s="669">
        <v>43065</v>
      </c>
      <c r="I78" s="617" t="s">
        <v>4871</v>
      </c>
      <c r="J78" s="617" t="s">
        <v>26</v>
      </c>
      <c r="K78" s="624"/>
      <c r="L78" s="617" t="s">
        <v>91</v>
      </c>
      <c r="M78" s="622">
        <v>29200</v>
      </c>
      <c r="N78" s="622">
        <v>33350</v>
      </c>
      <c r="O78" s="622">
        <v>37500</v>
      </c>
      <c r="P78" s="622">
        <v>41650</v>
      </c>
      <c r="Q78" s="622">
        <v>45000</v>
      </c>
      <c r="R78" s="622">
        <v>48350</v>
      </c>
      <c r="S78" s="622">
        <v>51650</v>
      </c>
      <c r="T78" s="622">
        <v>55000</v>
      </c>
      <c r="U78" s="636">
        <f t="shared" si="3"/>
        <v>31275</v>
      </c>
      <c r="V78" s="636">
        <f t="shared" si="4"/>
        <v>43325</v>
      </c>
      <c r="W78" s="636">
        <f t="shared" si="5"/>
        <v>53325</v>
      </c>
      <c r="X78" s="624"/>
      <c r="Y78" s="624"/>
      <c r="Z78" s="624"/>
      <c r="AA78" s="624"/>
      <c r="AB78" s="663">
        <v>39007001001</v>
      </c>
      <c r="AC78" s="663" t="s">
        <v>5008</v>
      </c>
      <c r="AD78" s="663" t="s">
        <v>4950</v>
      </c>
      <c r="AE78" s="663" t="s">
        <v>4928</v>
      </c>
      <c r="AF78" s="663" t="s">
        <v>4929</v>
      </c>
    </row>
    <row r="79" spans="1:32" s="608" customFormat="1" x14ac:dyDescent="0.25">
      <c r="A79" s="624"/>
      <c r="B79" s="617">
        <v>39007000801</v>
      </c>
      <c r="C79" s="617" t="s">
        <v>1747</v>
      </c>
      <c r="D79" s="617" t="s">
        <v>28</v>
      </c>
      <c r="E79" s="617" t="s">
        <v>1672</v>
      </c>
      <c r="F79" s="617" t="s">
        <v>26</v>
      </c>
      <c r="G79" s="624"/>
      <c r="H79" s="669">
        <v>43085</v>
      </c>
      <c r="I79" s="617" t="s">
        <v>4871</v>
      </c>
      <c r="J79" s="617" t="s">
        <v>26</v>
      </c>
      <c r="K79" s="624"/>
      <c r="L79" s="617" t="s">
        <v>92</v>
      </c>
      <c r="M79" s="622">
        <v>32800</v>
      </c>
      <c r="N79" s="622">
        <v>37500</v>
      </c>
      <c r="O79" s="622">
        <v>42200</v>
      </c>
      <c r="P79" s="622">
        <v>46850</v>
      </c>
      <c r="Q79" s="622">
        <v>50600</v>
      </c>
      <c r="R79" s="622">
        <v>54350</v>
      </c>
      <c r="S79" s="622">
        <v>58100</v>
      </c>
      <c r="T79" s="622">
        <v>61850</v>
      </c>
      <c r="U79" s="636">
        <f t="shared" si="3"/>
        <v>35150</v>
      </c>
      <c r="V79" s="636">
        <f t="shared" si="4"/>
        <v>48725</v>
      </c>
      <c r="W79" s="636">
        <f t="shared" si="5"/>
        <v>59975</v>
      </c>
      <c r="X79" s="624"/>
      <c r="Y79" s="624"/>
      <c r="Z79" s="624"/>
      <c r="AA79" s="624"/>
      <c r="AB79" s="663">
        <v>39007001002</v>
      </c>
      <c r="AC79" s="663" t="s">
        <v>5009</v>
      </c>
      <c r="AD79" s="663" t="s">
        <v>4941</v>
      </c>
      <c r="AE79" s="663" t="s">
        <v>4934</v>
      </c>
      <c r="AF79" s="663" t="s">
        <v>4929</v>
      </c>
    </row>
    <row r="80" spans="1:32" s="608" customFormat="1" x14ac:dyDescent="0.25">
      <c r="A80" s="624"/>
      <c r="B80" s="617">
        <v>39007000802</v>
      </c>
      <c r="C80" s="617" t="s">
        <v>1748</v>
      </c>
      <c r="D80" s="617" t="s">
        <v>28</v>
      </c>
      <c r="E80" s="617" t="s">
        <v>1672</v>
      </c>
      <c r="F80" s="617" t="s">
        <v>26</v>
      </c>
      <c r="G80" s="624"/>
      <c r="H80" s="669">
        <v>44124</v>
      </c>
      <c r="I80" s="617" t="s">
        <v>4869</v>
      </c>
      <c r="J80" s="617" t="s">
        <v>26</v>
      </c>
      <c r="K80" s="624"/>
      <c r="L80" s="617" t="s">
        <v>93</v>
      </c>
      <c r="M80" s="622">
        <v>27450</v>
      </c>
      <c r="N80" s="622">
        <v>31400</v>
      </c>
      <c r="O80" s="622">
        <v>35300</v>
      </c>
      <c r="P80" s="622">
        <v>39200</v>
      </c>
      <c r="Q80" s="622">
        <v>42350</v>
      </c>
      <c r="R80" s="622">
        <v>45500</v>
      </c>
      <c r="S80" s="622">
        <v>48650</v>
      </c>
      <c r="T80" s="622">
        <v>51750</v>
      </c>
      <c r="U80" s="636">
        <f t="shared" si="3"/>
        <v>29425</v>
      </c>
      <c r="V80" s="636">
        <f t="shared" si="4"/>
        <v>40775</v>
      </c>
      <c r="W80" s="636">
        <f t="shared" si="5"/>
        <v>50200</v>
      </c>
      <c r="X80" s="624"/>
      <c r="Y80" s="624"/>
      <c r="Z80" s="624"/>
      <c r="AA80" s="624"/>
      <c r="AB80" s="663">
        <v>39007001101</v>
      </c>
      <c r="AC80" s="663" t="s">
        <v>5010</v>
      </c>
      <c r="AD80" s="663" t="s">
        <v>4950</v>
      </c>
      <c r="AE80" s="663" t="s">
        <v>4928</v>
      </c>
      <c r="AF80" s="663" t="s">
        <v>4929</v>
      </c>
    </row>
    <row r="81" spans="1:32" s="608" customFormat="1" x14ac:dyDescent="0.25">
      <c r="A81" s="624"/>
      <c r="B81" s="617">
        <v>39007000900</v>
      </c>
      <c r="C81" s="617" t="s">
        <v>1749</v>
      </c>
      <c r="D81" s="617" t="s">
        <v>28</v>
      </c>
      <c r="E81" s="617" t="s">
        <v>1672</v>
      </c>
      <c r="F81" s="617" t="s">
        <v>26</v>
      </c>
      <c r="G81" s="624"/>
      <c r="H81" s="669">
        <v>44028</v>
      </c>
      <c r="I81" s="617" t="s">
        <v>4869</v>
      </c>
      <c r="J81" s="617" t="s">
        <v>26</v>
      </c>
      <c r="K81" s="624"/>
      <c r="L81" s="617" t="s">
        <v>94</v>
      </c>
      <c r="M81" s="622">
        <v>27450</v>
      </c>
      <c r="N81" s="622">
        <v>31400</v>
      </c>
      <c r="O81" s="622">
        <v>35300</v>
      </c>
      <c r="P81" s="622">
        <v>39200</v>
      </c>
      <c r="Q81" s="622">
        <v>42350</v>
      </c>
      <c r="R81" s="622">
        <v>45500</v>
      </c>
      <c r="S81" s="622">
        <v>48650</v>
      </c>
      <c r="T81" s="622">
        <v>51750</v>
      </c>
      <c r="U81" s="636">
        <f t="shared" si="3"/>
        <v>29425</v>
      </c>
      <c r="V81" s="636">
        <f t="shared" si="4"/>
        <v>40775</v>
      </c>
      <c r="W81" s="636">
        <f t="shared" si="5"/>
        <v>50200</v>
      </c>
      <c r="X81" s="624"/>
      <c r="Y81" s="624"/>
      <c r="Z81" s="624"/>
      <c r="AA81" s="624"/>
      <c r="AB81" s="663">
        <v>39007001102</v>
      </c>
      <c r="AC81" s="663" t="s">
        <v>5011</v>
      </c>
      <c r="AD81" s="663" t="s">
        <v>4941</v>
      </c>
      <c r="AE81" s="663" t="s">
        <v>4934</v>
      </c>
      <c r="AF81" s="663" t="s">
        <v>4929</v>
      </c>
    </row>
    <row r="82" spans="1:32" s="608" customFormat="1" x14ac:dyDescent="0.25">
      <c r="A82" s="624"/>
      <c r="B82" s="617">
        <v>39007001001</v>
      </c>
      <c r="C82" s="617" t="s">
        <v>1750</v>
      </c>
      <c r="D82" s="617" t="s">
        <v>28</v>
      </c>
      <c r="E82" s="617" t="s">
        <v>1672</v>
      </c>
      <c r="F82" s="617" t="s">
        <v>26</v>
      </c>
      <c r="G82" s="624"/>
      <c r="H82" s="669">
        <v>45349</v>
      </c>
      <c r="I82" s="617" t="s">
        <v>4876</v>
      </c>
      <c r="J82" s="617" t="s">
        <v>26</v>
      </c>
      <c r="K82" s="624"/>
      <c r="L82" s="617" t="s">
        <v>95</v>
      </c>
      <c r="M82" s="622">
        <v>27600</v>
      </c>
      <c r="N82" s="622">
        <v>31550</v>
      </c>
      <c r="O82" s="622">
        <v>35500</v>
      </c>
      <c r="P82" s="622">
        <v>39400</v>
      </c>
      <c r="Q82" s="622">
        <v>42600</v>
      </c>
      <c r="R82" s="622">
        <v>45750</v>
      </c>
      <c r="S82" s="622">
        <v>48900</v>
      </c>
      <c r="T82" s="622">
        <v>52050</v>
      </c>
      <c r="U82" s="636">
        <f t="shared" si="3"/>
        <v>29575</v>
      </c>
      <c r="V82" s="636">
        <f t="shared" si="4"/>
        <v>41000</v>
      </c>
      <c r="W82" s="636">
        <f t="shared" si="5"/>
        <v>50475</v>
      </c>
      <c r="X82" s="624"/>
      <c r="Y82" s="624"/>
      <c r="Z82" s="624"/>
      <c r="AA82" s="624"/>
      <c r="AB82" s="663">
        <v>39007001200</v>
      </c>
      <c r="AC82" s="663" t="s">
        <v>5012</v>
      </c>
      <c r="AD82" s="663" t="s">
        <v>4950</v>
      </c>
      <c r="AE82" s="663" t="s">
        <v>4928</v>
      </c>
      <c r="AF82" s="663" t="s">
        <v>4929</v>
      </c>
    </row>
    <row r="83" spans="1:32" s="608" customFormat="1" x14ac:dyDescent="0.25">
      <c r="A83" s="624"/>
      <c r="B83" s="617">
        <v>39007001002</v>
      </c>
      <c r="C83" s="617" t="s">
        <v>1751</v>
      </c>
      <c r="D83" s="617" t="s">
        <v>28</v>
      </c>
      <c r="E83" s="617" t="s">
        <v>1672</v>
      </c>
      <c r="F83" s="617" t="s">
        <v>26</v>
      </c>
      <c r="G83" s="624"/>
      <c r="H83" s="669">
        <v>44321</v>
      </c>
      <c r="I83" s="617" t="s">
        <v>4868</v>
      </c>
      <c r="J83" s="617" t="s">
        <v>26</v>
      </c>
      <c r="K83" s="624"/>
      <c r="L83" s="617" t="s">
        <v>96</v>
      </c>
      <c r="M83" s="622">
        <v>27450</v>
      </c>
      <c r="N83" s="622">
        <v>31400</v>
      </c>
      <c r="O83" s="622">
        <v>35300</v>
      </c>
      <c r="P83" s="622">
        <v>39200</v>
      </c>
      <c r="Q83" s="622">
        <v>42350</v>
      </c>
      <c r="R83" s="622">
        <v>45500</v>
      </c>
      <c r="S83" s="622">
        <v>48650</v>
      </c>
      <c r="T83" s="622">
        <v>51750</v>
      </c>
      <c r="U83" s="636">
        <f t="shared" si="3"/>
        <v>29425</v>
      </c>
      <c r="V83" s="636">
        <f t="shared" si="4"/>
        <v>40775</v>
      </c>
      <c r="W83" s="636">
        <f t="shared" si="5"/>
        <v>50200</v>
      </c>
      <c r="X83" s="624"/>
      <c r="Y83" s="624"/>
      <c r="Z83" s="624"/>
      <c r="AA83" s="624"/>
      <c r="AB83" s="663">
        <v>39007001301</v>
      </c>
      <c r="AC83" s="663" t="s">
        <v>5013</v>
      </c>
      <c r="AD83" s="663" t="s">
        <v>4927</v>
      </c>
      <c r="AE83" s="663" t="s">
        <v>4942</v>
      </c>
      <c r="AF83" s="663" t="s">
        <v>4929</v>
      </c>
    </row>
    <row r="84" spans="1:32" s="608" customFormat="1" x14ac:dyDescent="0.25">
      <c r="A84" s="624"/>
      <c r="B84" s="617">
        <v>39007001101</v>
      </c>
      <c r="C84" s="617" t="s">
        <v>1752</v>
      </c>
      <c r="D84" s="617" t="s">
        <v>28</v>
      </c>
      <c r="E84" s="617" t="s">
        <v>1672</v>
      </c>
      <c r="F84" s="617" t="s">
        <v>26</v>
      </c>
      <c r="G84" s="624"/>
      <c r="H84" s="669">
        <v>43081</v>
      </c>
      <c r="I84" s="617" t="s">
        <v>4871</v>
      </c>
      <c r="J84" s="617" t="s">
        <v>26</v>
      </c>
      <c r="K84" s="624"/>
      <c r="L84" s="617" t="s">
        <v>97</v>
      </c>
      <c r="M84" s="622">
        <v>27450</v>
      </c>
      <c r="N84" s="622">
        <v>31400</v>
      </c>
      <c r="O84" s="622">
        <v>35300</v>
      </c>
      <c r="P84" s="622">
        <v>39200</v>
      </c>
      <c r="Q84" s="622">
        <v>42350</v>
      </c>
      <c r="R84" s="622">
        <v>45500</v>
      </c>
      <c r="S84" s="622">
        <v>48650</v>
      </c>
      <c r="T84" s="622">
        <v>51750</v>
      </c>
      <c r="U84" s="636">
        <f t="shared" si="3"/>
        <v>29425</v>
      </c>
      <c r="V84" s="636">
        <f t="shared" si="4"/>
        <v>40775</v>
      </c>
      <c r="W84" s="636">
        <f t="shared" si="5"/>
        <v>50200</v>
      </c>
      <c r="X84" s="624"/>
      <c r="Y84" s="624"/>
      <c r="Z84" s="624"/>
      <c r="AA84" s="624"/>
      <c r="AB84" s="663">
        <v>39007001302</v>
      </c>
      <c r="AC84" s="663" t="s">
        <v>5014</v>
      </c>
      <c r="AD84" s="663" t="s">
        <v>4927</v>
      </c>
      <c r="AE84" s="663" t="s">
        <v>5006</v>
      </c>
      <c r="AF84" s="663" t="s">
        <v>4929</v>
      </c>
    </row>
    <row r="85" spans="1:32" s="608" customFormat="1" x14ac:dyDescent="0.25">
      <c r="A85" s="624"/>
      <c r="B85" s="617">
        <v>39007001102</v>
      </c>
      <c r="C85" s="617" t="s">
        <v>1753</v>
      </c>
      <c r="D85" s="617" t="s">
        <v>28</v>
      </c>
      <c r="E85" s="617" t="s">
        <v>1672</v>
      </c>
      <c r="F85" s="617" t="s">
        <v>26</v>
      </c>
      <c r="G85" s="624"/>
      <c r="H85" s="669">
        <v>43235</v>
      </c>
      <c r="I85" s="617" t="s">
        <v>4871</v>
      </c>
      <c r="J85" s="617" t="s">
        <v>26</v>
      </c>
      <c r="K85" s="624"/>
      <c r="L85" s="617" t="s">
        <v>98</v>
      </c>
      <c r="M85" s="622">
        <v>31850</v>
      </c>
      <c r="N85" s="622">
        <v>36400</v>
      </c>
      <c r="O85" s="622">
        <v>40950</v>
      </c>
      <c r="P85" s="622">
        <v>45450</v>
      </c>
      <c r="Q85" s="622">
        <v>49100</v>
      </c>
      <c r="R85" s="622">
        <v>52750</v>
      </c>
      <c r="S85" s="622">
        <v>56400</v>
      </c>
      <c r="T85" s="622">
        <v>60000</v>
      </c>
      <c r="U85" s="636">
        <f t="shared" si="3"/>
        <v>34125</v>
      </c>
      <c r="V85" s="636">
        <f t="shared" si="4"/>
        <v>47275</v>
      </c>
      <c r="W85" s="636">
        <f t="shared" si="5"/>
        <v>58200</v>
      </c>
      <c r="X85" s="624"/>
      <c r="Y85" s="624"/>
      <c r="Z85" s="624"/>
      <c r="AA85" s="624"/>
      <c r="AB85" s="663">
        <v>39007001400</v>
      </c>
      <c r="AC85" s="663" t="s">
        <v>5015</v>
      </c>
      <c r="AD85" s="663" t="s">
        <v>4927</v>
      </c>
      <c r="AE85" s="663" t="s">
        <v>4931</v>
      </c>
      <c r="AF85" s="663" t="s">
        <v>4929</v>
      </c>
    </row>
    <row r="86" spans="1:32" s="608" customFormat="1" x14ac:dyDescent="0.25">
      <c r="A86" s="624"/>
      <c r="B86" s="617">
        <v>39007001201</v>
      </c>
      <c r="C86" s="617" t="s">
        <v>1754</v>
      </c>
      <c r="D86" s="617" t="s">
        <v>28</v>
      </c>
      <c r="E86" s="617" t="s">
        <v>1672</v>
      </c>
      <c r="F86" s="617" t="s">
        <v>26</v>
      </c>
      <c r="G86" s="624"/>
      <c r="H86" s="669">
        <v>43035</v>
      </c>
      <c r="I86" s="617" t="s">
        <v>4871</v>
      </c>
      <c r="J86" s="617" t="s">
        <v>26</v>
      </c>
      <c r="K86" s="624"/>
      <c r="L86" s="617" t="s">
        <v>99</v>
      </c>
      <c r="M86" s="622">
        <v>28500</v>
      </c>
      <c r="N86" s="622">
        <v>32600</v>
      </c>
      <c r="O86" s="622">
        <v>36650</v>
      </c>
      <c r="P86" s="622">
        <v>40700</v>
      </c>
      <c r="Q86" s="622">
        <v>44000</v>
      </c>
      <c r="R86" s="622">
        <v>47250</v>
      </c>
      <c r="S86" s="622">
        <v>50500</v>
      </c>
      <c r="T86" s="622">
        <v>53750</v>
      </c>
      <c r="U86" s="636">
        <f t="shared" si="3"/>
        <v>30550</v>
      </c>
      <c r="V86" s="636">
        <f t="shared" si="4"/>
        <v>42350</v>
      </c>
      <c r="W86" s="636">
        <f t="shared" si="5"/>
        <v>52125</v>
      </c>
      <c r="X86" s="624"/>
      <c r="Y86" s="624"/>
      <c r="Z86" s="624"/>
      <c r="AA86" s="624"/>
      <c r="AB86" s="663">
        <v>39009972600</v>
      </c>
      <c r="AC86" s="663" t="s">
        <v>5016</v>
      </c>
      <c r="AD86" s="663" t="s">
        <v>4927</v>
      </c>
      <c r="AE86" s="663" t="s">
        <v>4928</v>
      </c>
      <c r="AF86" s="663" t="s">
        <v>4929</v>
      </c>
    </row>
    <row r="87" spans="1:32" s="608" customFormat="1" x14ac:dyDescent="0.25">
      <c r="A87" s="624"/>
      <c r="B87" s="617">
        <v>39007001202</v>
      </c>
      <c r="C87" s="617" t="s">
        <v>1755</v>
      </c>
      <c r="D87" s="617" t="s">
        <v>28</v>
      </c>
      <c r="E87" s="617" t="s">
        <v>1672</v>
      </c>
      <c r="F87" s="617" t="s">
        <v>26</v>
      </c>
      <c r="G87" s="624"/>
      <c r="H87" s="669">
        <v>44039</v>
      </c>
      <c r="I87" s="617" t="s">
        <v>4869</v>
      </c>
      <c r="J87" s="617" t="s">
        <v>26</v>
      </c>
      <c r="K87" s="624"/>
      <c r="L87" s="617" t="s">
        <v>100</v>
      </c>
      <c r="M87" s="622">
        <v>30400</v>
      </c>
      <c r="N87" s="622">
        <v>34750</v>
      </c>
      <c r="O87" s="622">
        <v>39100</v>
      </c>
      <c r="P87" s="622">
        <v>43400</v>
      </c>
      <c r="Q87" s="622">
        <v>46900</v>
      </c>
      <c r="R87" s="622">
        <v>50350</v>
      </c>
      <c r="S87" s="622">
        <v>53850</v>
      </c>
      <c r="T87" s="622">
        <v>57300</v>
      </c>
      <c r="U87" s="636">
        <f t="shared" si="3"/>
        <v>32575</v>
      </c>
      <c r="V87" s="636">
        <f t="shared" si="4"/>
        <v>45150</v>
      </c>
      <c r="W87" s="636">
        <f t="shared" si="5"/>
        <v>55575</v>
      </c>
      <c r="X87" s="624"/>
      <c r="Y87" s="624"/>
      <c r="Z87" s="624"/>
      <c r="AA87" s="624"/>
      <c r="AB87" s="663">
        <v>39009972700</v>
      </c>
      <c r="AC87" s="663" t="s">
        <v>5017</v>
      </c>
      <c r="AD87" s="663" t="s">
        <v>4927</v>
      </c>
      <c r="AE87" s="663" t="s">
        <v>4934</v>
      </c>
      <c r="AF87" s="663" t="s">
        <v>4929</v>
      </c>
    </row>
    <row r="88" spans="1:32" s="608" customFormat="1" x14ac:dyDescent="0.25">
      <c r="A88" s="624"/>
      <c r="B88" s="617">
        <v>39007001301</v>
      </c>
      <c r="C88" s="617" t="s">
        <v>1756</v>
      </c>
      <c r="D88" s="617" t="s">
        <v>28</v>
      </c>
      <c r="E88" s="617" t="s">
        <v>1672</v>
      </c>
      <c r="F88" s="617" t="s">
        <v>26</v>
      </c>
      <c r="G88" s="624"/>
      <c r="H88" s="669">
        <v>44140</v>
      </c>
      <c r="I88" s="617" t="s">
        <v>4869</v>
      </c>
      <c r="J88" s="617" t="s">
        <v>26</v>
      </c>
      <c r="K88" s="624"/>
      <c r="L88" s="617" t="s">
        <v>101</v>
      </c>
      <c r="M88" s="622">
        <v>27450</v>
      </c>
      <c r="N88" s="622">
        <v>31400</v>
      </c>
      <c r="O88" s="622">
        <v>35300</v>
      </c>
      <c r="P88" s="622">
        <v>39200</v>
      </c>
      <c r="Q88" s="622">
        <v>42350</v>
      </c>
      <c r="R88" s="622">
        <v>45500</v>
      </c>
      <c r="S88" s="622">
        <v>48650</v>
      </c>
      <c r="T88" s="622">
        <v>51750</v>
      </c>
      <c r="U88" s="636">
        <f t="shared" si="3"/>
        <v>29425</v>
      </c>
      <c r="V88" s="636">
        <f t="shared" si="4"/>
        <v>40775</v>
      </c>
      <c r="W88" s="636">
        <f t="shared" si="5"/>
        <v>50200</v>
      </c>
      <c r="X88" s="624"/>
      <c r="Y88" s="624"/>
      <c r="Z88" s="624"/>
      <c r="AA88" s="624"/>
      <c r="AB88" s="663">
        <v>39009972800</v>
      </c>
      <c r="AC88" s="663" t="s">
        <v>5018</v>
      </c>
      <c r="AD88" s="663" t="s">
        <v>4927</v>
      </c>
      <c r="AE88" s="663" t="s">
        <v>4931</v>
      </c>
      <c r="AF88" s="663" t="s">
        <v>4929</v>
      </c>
    </row>
    <row r="89" spans="1:32" s="608" customFormat="1" x14ac:dyDescent="0.25">
      <c r="A89" s="624"/>
      <c r="B89" s="617">
        <v>39007001303</v>
      </c>
      <c r="C89" s="617" t="s">
        <v>1757</v>
      </c>
      <c r="D89" s="617" t="s">
        <v>28</v>
      </c>
      <c r="E89" s="617" t="s">
        <v>1672</v>
      </c>
      <c r="F89" s="617" t="s">
        <v>24</v>
      </c>
      <c r="G89" s="624"/>
      <c r="H89" s="669">
        <v>45118</v>
      </c>
      <c r="I89" s="617" t="s">
        <v>1674</v>
      </c>
      <c r="J89" s="617" t="s">
        <v>26</v>
      </c>
      <c r="K89" s="624"/>
      <c r="L89" s="617" t="s">
        <v>102</v>
      </c>
      <c r="M89" s="622">
        <v>27800</v>
      </c>
      <c r="N89" s="622">
        <v>31750</v>
      </c>
      <c r="O89" s="622">
        <v>35700</v>
      </c>
      <c r="P89" s="622">
        <v>39650</v>
      </c>
      <c r="Q89" s="622">
        <v>42850</v>
      </c>
      <c r="R89" s="622">
        <v>46000</v>
      </c>
      <c r="S89" s="622">
        <v>49200</v>
      </c>
      <c r="T89" s="622">
        <v>52350</v>
      </c>
      <c r="U89" s="636">
        <f t="shared" si="3"/>
        <v>29775</v>
      </c>
      <c r="V89" s="636">
        <f t="shared" si="4"/>
        <v>41250</v>
      </c>
      <c r="W89" s="636">
        <f t="shared" si="5"/>
        <v>50775</v>
      </c>
      <c r="X89" s="624"/>
      <c r="Y89" s="624"/>
      <c r="Z89" s="624"/>
      <c r="AA89" s="624"/>
      <c r="AB89" s="663">
        <v>39009972900</v>
      </c>
      <c r="AC89" s="663" t="s">
        <v>5019</v>
      </c>
      <c r="AD89" s="663" t="s">
        <v>4948</v>
      </c>
      <c r="AE89" s="663" t="s">
        <v>4934</v>
      </c>
      <c r="AF89" s="663" t="s">
        <v>4929</v>
      </c>
    </row>
    <row r="90" spans="1:32" s="608" customFormat="1" x14ac:dyDescent="0.25">
      <c r="A90" s="624"/>
      <c r="B90" s="617">
        <v>39007001304</v>
      </c>
      <c r="C90" s="617" t="s">
        <v>1758</v>
      </c>
      <c r="D90" s="617" t="s">
        <v>28</v>
      </c>
      <c r="E90" s="617" t="s">
        <v>1672</v>
      </c>
      <c r="F90" s="617" t="s">
        <v>26</v>
      </c>
      <c r="G90" s="624"/>
      <c r="H90" s="669">
        <v>43149</v>
      </c>
      <c r="I90" s="617" t="s">
        <v>1675</v>
      </c>
      <c r="J90" s="617" t="s">
        <v>26</v>
      </c>
      <c r="K90" s="624"/>
      <c r="L90" s="617" t="s">
        <v>103</v>
      </c>
      <c r="M90" s="622">
        <v>40850</v>
      </c>
      <c r="N90" s="622">
        <v>46650</v>
      </c>
      <c r="O90" s="622">
        <v>52500</v>
      </c>
      <c r="P90" s="622">
        <v>58300</v>
      </c>
      <c r="Q90" s="622">
        <v>63000</v>
      </c>
      <c r="R90" s="622">
        <v>67650</v>
      </c>
      <c r="S90" s="622">
        <v>72300</v>
      </c>
      <c r="T90" s="622">
        <v>77000</v>
      </c>
      <c r="U90" s="636">
        <f t="shared" si="3"/>
        <v>43750</v>
      </c>
      <c r="V90" s="636">
        <f t="shared" si="4"/>
        <v>60650</v>
      </c>
      <c r="W90" s="636">
        <f t="shared" si="5"/>
        <v>74650</v>
      </c>
      <c r="X90" s="624"/>
      <c r="Y90" s="624"/>
      <c r="Z90" s="624"/>
      <c r="AA90" s="624"/>
      <c r="AB90" s="663">
        <v>39009973000</v>
      </c>
      <c r="AC90" s="663" t="s">
        <v>5020</v>
      </c>
      <c r="AD90" s="663" t="s">
        <v>4938</v>
      </c>
      <c r="AE90" s="663" t="s">
        <v>4939</v>
      </c>
      <c r="AF90" s="663" t="s">
        <v>4983</v>
      </c>
    </row>
    <row r="91" spans="1:32" s="608" customFormat="1" x14ac:dyDescent="0.25">
      <c r="A91" s="624"/>
      <c r="B91" s="617">
        <v>39007001401</v>
      </c>
      <c r="C91" s="617" t="s">
        <v>1759</v>
      </c>
      <c r="D91" s="617" t="s">
        <v>28</v>
      </c>
      <c r="E91" s="617" t="s">
        <v>1672</v>
      </c>
      <c r="F91" s="617" t="s">
        <v>26</v>
      </c>
      <c r="G91" s="624"/>
      <c r="H91" s="669">
        <v>44224</v>
      </c>
      <c r="I91" s="617" t="s">
        <v>4868</v>
      </c>
      <c r="J91" s="617" t="s">
        <v>26</v>
      </c>
      <c r="K91" s="624"/>
      <c r="L91" s="617" t="s">
        <v>104</v>
      </c>
      <c r="M91" s="622">
        <v>27450</v>
      </c>
      <c r="N91" s="622">
        <v>31400</v>
      </c>
      <c r="O91" s="622">
        <v>35300</v>
      </c>
      <c r="P91" s="622">
        <v>39200</v>
      </c>
      <c r="Q91" s="622">
        <v>42350</v>
      </c>
      <c r="R91" s="622">
        <v>45500</v>
      </c>
      <c r="S91" s="622">
        <v>48650</v>
      </c>
      <c r="T91" s="622">
        <v>51750</v>
      </c>
      <c r="U91" s="636">
        <f t="shared" si="3"/>
        <v>29425</v>
      </c>
      <c r="V91" s="636">
        <f t="shared" si="4"/>
        <v>40775</v>
      </c>
      <c r="W91" s="636">
        <f t="shared" si="5"/>
        <v>50200</v>
      </c>
      <c r="X91" s="624"/>
      <c r="Y91" s="624"/>
      <c r="Z91" s="624"/>
      <c r="AA91" s="624"/>
      <c r="AB91" s="663">
        <v>39009973101</v>
      </c>
      <c r="AC91" s="663" t="s">
        <v>5021</v>
      </c>
      <c r="AD91" s="663" t="s">
        <v>4941</v>
      </c>
      <c r="AE91" s="663" t="s">
        <v>4939</v>
      </c>
      <c r="AF91" s="663" t="s">
        <v>4983</v>
      </c>
    </row>
    <row r="92" spans="1:32" s="608" customFormat="1" x14ac:dyDescent="0.25">
      <c r="A92" s="624"/>
      <c r="B92" s="617">
        <v>39007001402</v>
      </c>
      <c r="C92" s="617" t="s">
        <v>1760</v>
      </c>
      <c r="D92" s="617" t="s">
        <v>28</v>
      </c>
      <c r="E92" s="617" t="s">
        <v>1672</v>
      </c>
      <c r="F92" s="617" t="s">
        <v>26</v>
      </c>
      <c r="G92" s="624"/>
      <c r="H92" s="669">
        <v>44411</v>
      </c>
      <c r="I92" s="617" t="s">
        <v>4868</v>
      </c>
      <c r="J92" s="617" t="s">
        <v>26</v>
      </c>
      <c r="K92" s="624"/>
      <c r="L92" s="617" t="s">
        <v>105</v>
      </c>
      <c r="M92" s="622">
        <v>27450</v>
      </c>
      <c r="N92" s="622">
        <v>31400</v>
      </c>
      <c r="O92" s="622">
        <v>35300</v>
      </c>
      <c r="P92" s="622">
        <v>39200</v>
      </c>
      <c r="Q92" s="622">
        <v>42350</v>
      </c>
      <c r="R92" s="622">
        <v>45500</v>
      </c>
      <c r="S92" s="622">
        <v>48650</v>
      </c>
      <c r="T92" s="622">
        <v>51750</v>
      </c>
      <c r="U92" s="636">
        <f t="shared" si="3"/>
        <v>29425</v>
      </c>
      <c r="V92" s="636">
        <f t="shared" si="4"/>
        <v>40775</v>
      </c>
      <c r="W92" s="636">
        <f t="shared" si="5"/>
        <v>50200</v>
      </c>
      <c r="X92" s="624"/>
      <c r="Y92" s="624"/>
      <c r="Z92" s="624"/>
      <c r="AA92" s="624"/>
      <c r="AB92" s="663">
        <v>39009973200</v>
      </c>
      <c r="AC92" s="663" t="s">
        <v>5022</v>
      </c>
      <c r="AD92" s="663" t="s">
        <v>4938</v>
      </c>
      <c r="AE92" s="663" t="s">
        <v>4939</v>
      </c>
      <c r="AF92" s="663" t="s">
        <v>4929</v>
      </c>
    </row>
    <row r="93" spans="1:32" s="608" customFormat="1" x14ac:dyDescent="0.25">
      <c r="A93" s="624"/>
      <c r="B93" s="617">
        <v>39007990000</v>
      </c>
      <c r="C93" s="617" t="s">
        <v>1761</v>
      </c>
      <c r="D93" s="617" t="s">
        <v>28</v>
      </c>
      <c r="E93" s="617" t="s">
        <v>1672</v>
      </c>
      <c r="F93" s="617" t="s">
        <v>26</v>
      </c>
      <c r="G93" s="624"/>
      <c r="H93" s="669">
        <v>43230</v>
      </c>
      <c r="I93" s="617" t="s">
        <v>4871</v>
      </c>
      <c r="J93" s="617" t="s">
        <v>26</v>
      </c>
      <c r="K93" s="624"/>
      <c r="L93" s="617" t="s">
        <v>106</v>
      </c>
      <c r="M93" s="622">
        <v>35400</v>
      </c>
      <c r="N93" s="622">
        <v>40450</v>
      </c>
      <c r="O93" s="622">
        <v>45500</v>
      </c>
      <c r="P93" s="622">
        <v>50550</v>
      </c>
      <c r="Q93" s="622">
        <v>54600</v>
      </c>
      <c r="R93" s="622">
        <v>58650</v>
      </c>
      <c r="S93" s="622">
        <v>62700</v>
      </c>
      <c r="T93" s="622">
        <v>66750</v>
      </c>
      <c r="U93" s="636">
        <f t="shared" si="3"/>
        <v>37925</v>
      </c>
      <c r="V93" s="636">
        <f t="shared" si="4"/>
        <v>52575</v>
      </c>
      <c r="W93" s="636">
        <f t="shared" si="5"/>
        <v>64725</v>
      </c>
      <c r="X93" s="624"/>
      <c r="Y93" s="624"/>
      <c r="Z93" s="624"/>
      <c r="AA93" s="624"/>
      <c r="AB93" s="663">
        <v>39009973300</v>
      </c>
      <c r="AC93" s="663" t="s">
        <v>5023</v>
      </c>
      <c r="AD93" s="663" t="s">
        <v>4938</v>
      </c>
      <c r="AE93" s="663" t="s">
        <v>4931</v>
      </c>
      <c r="AF93" s="663" t="s">
        <v>4929</v>
      </c>
    </row>
    <row r="94" spans="1:32" s="608" customFormat="1" x14ac:dyDescent="0.25">
      <c r="A94" s="624"/>
      <c r="B94" s="617">
        <v>39009972600</v>
      </c>
      <c r="C94" s="617" t="s">
        <v>1762</v>
      </c>
      <c r="D94" s="617" t="s">
        <v>29</v>
      </c>
      <c r="E94" s="617" t="s">
        <v>1672</v>
      </c>
      <c r="F94" s="617" t="s">
        <v>24</v>
      </c>
      <c r="G94" s="624"/>
      <c r="H94" s="669">
        <v>43062</v>
      </c>
      <c r="I94" s="617" t="s">
        <v>4871</v>
      </c>
      <c r="J94" s="617" t="s">
        <v>26</v>
      </c>
      <c r="K94" s="624"/>
      <c r="L94" s="617" t="s">
        <v>107</v>
      </c>
      <c r="M94" s="622">
        <v>27450</v>
      </c>
      <c r="N94" s="622">
        <v>31400</v>
      </c>
      <c r="O94" s="622">
        <v>35300</v>
      </c>
      <c r="P94" s="622">
        <v>39200</v>
      </c>
      <c r="Q94" s="622">
        <v>42350</v>
      </c>
      <c r="R94" s="622">
        <v>45500</v>
      </c>
      <c r="S94" s="622">
        <v>48650</v>
      </c>
      <c r="T94" s="622">
        <v>51750</v>
      </c>
      <c r="U94" s="636">
        <f t="shared" si="3"/>
        <v>29425</v>
      </c>
      <c r="V94" s="636">
        <f t="shared" si="4"/>
        <v>40775</v>
      </c>
      <c r="W94" s="636">
        <f t="shared" si="5"/>
        <v>50200</v>
      </c>
      <c r="X94" s="624"/>
      <c r="Y94" s="624"/>
      <c r="Z94" s="624"/>
      <c r="AA94" s="624"/>
      <c r="AB94" s="663">
        <v>39009973400</v>
      </c>
      <c r="AC94" s="663" t="s">
        <v>5024</v>
      </c>
      <c r="AD94" s="663" t="s">
        <v>4950</v>
      </c>
      <c r="AE94" s="663" t="s">
        <v>4939</v>
      </c>
      <c r="AF94" s="663" t="s">
        <v>4929</v>
      </c>
    </row>
    <row r="95" spans="1:32" s="608" customFormat="1" x14ac:dyDescent="0.25">
      <c r="A95" s="624"/>
      <c r="B95" s="617">
        <v>39009972700</v>
      </c>
      <c r="C95" s="617" t="s">
        <v>1763</v>
      </c>
      <c r="D95" s="617" t="s">
        <v>29</v>
      </c>
      <c r="E95" s="617" t="s">
        <v>1672</v>
      </c>
      <c r="F95" s="617" t="s">
        <v>24</v>
      </c>
      <c r="G95" s="624"/>
      <c r="H95" s="669">
        <v>43212</v>
      </c>
      <c r="I95" s="617" t="s">
        <v>4871</v>
      </c>
      <c r="J95" s="617" t="s">
        <v>26</v>
      </c>
      <c r="K95" s="624"/>
      <c r="L95" s="617" t="s">
        <v>108</v>
      </c>
      <c r="M95" s="622">
        <v>29000</v>
      </c>
      <c r="N95" s="622">
        <v>33150</v>
      </c>
      <c r="O95" s="622">
        <v>37300</v>
      </c>
      <c r="P95" s="622">
        <v>41400</v>
      </c>
      <c r="Q95" s="622">
        <v>44750</v>
      </c>
      <c r="R95" s="622">
        <v>48050</v>
      </c>
      <c r="S95" s="622">
        <v>51350</v>
      </c>
      <c r="T95" s="622">
        <v>54650</v>
      </c>
      <c r="U95" s="636">
        <f t="shared" si="3"/>
        <v>31075</v>
      </c>
      <c r="V95" s="636">
        <f t="shared" si="4"/>
        <v>43075</v>
      </c>
      <c r="W95" s="636">
        <f t="shared" si="5"/>
        <v>53000</v>
      </c>
      <c r="X95" s="624"/>
      <c r="Y95" s="624"/>
      <c r="Z95" s="624"/>
      <c r="AA95" s="624"/>
      <c r="AB95" s="663">
        <v>39009973500</v>
      </c>
      <c r="AC95" s="663" t="s">
        <v>5025</v>
      </c>
      <c r="AD95" s="663" t="s">
        <v>4950</v>
      </c>
      <c r="AE95" s="663" t="s">
        <v>4928</v>
      </c>
      <c r="AF95" s="663" t="s">
        <v>4929</v>
      </c>
    </row>
    <row r="96" spans="1:32" s="608" customFormat="1" x14ac:dyDescent="0.25">
      <c r="A96" s="624"/>
      <c r="B96" s="617">
        <v>39009972800</v>
      </c>
      <c r="C96" s="617" t="s">
        <v>1764</v>
      </c>
      <c r="D96" s="617" t="s">
        <v>29</v>
      </c>
      <c r="E96" s="617" t="s">
        <v>1672</v>
      </c>
      <c r="F96" s="617" t="s">
        <v>24</v>
      </c>
      <c r="G96" s="624"/>
      <c r="H96" s="669">
        <v>43074</v>
      </c>
      <c r="I96" s="617" t="s">
        <v>4871</v>
      </c>
      <c r="J96" s="617" t="s">
        <v>26</v>
      </c>
      <c r="K96" s="624"/>
      <c r="L96" s="617" t="s">
        <v>109</v>
      </c>
      <c r="M96" s="622">
        <v>27450</v>
      </c>
      <c r="N96" s="622">
        <v>31400</v>
      </c>
      <c r="O96" s="622">
        <v>35300</v>
      </c>
      <c r="P96" s="622">
        <v>39200</v>
      </c>
      <c r="Q96" s="622">
        <v>42350</v>
      </c>
      <c r="R96" s="622">
        <v>45500</v>
      </c>
      <c r="S96" s="622">
        <v>48650</v>
      </c>
      <c r="T96" s="622">
        <v>51750</v>
      </c>
      <c r="U96" s="636">
        <f t="shared" si="3"/>
        <v>29425</v>
      </c>
      <c r="V96" s="636">
        <f t="shared" si="4"/>
        <v>40775</v>
      </c>
      <c r="W96" s="636">
        <f t="shared" si="5"/>
        <v>50200</v>
      </c>
      <c r="X96" s="624"/>
      <c r="Y96" s="624"/>
      <c r="Z96" s="624"/>
      <c r="AA96" s="624"/>
      <c r="AB96" s="663">
        <v>39009973600</v>
      </c>
      <c r="AC96" s="663" t="s">
        <v>5026</v>
      </c>
      <c r="AD96" s="663" t="s">
        <v>4950</v>
      </c>
      <c r="AE96" s="663" t="s">
        <v>4928</v>
      </c>
      <c r="AF96" s="663" t="s">
        <v>4929</v>
      </c>
    </row>
    <row r="97" spans="1:32" s="608" customFormat="1" x14ac:dyDescent="0.25">
      <c r="A97" s="624"/>
      <c r="B97" s="617">
        <v>39009972900</v>
      </c>
      <c r="C97" s="617" t="s">
        <v>1765</v>
      </c>
      <c r="D97" s="617" t="s">
        <v>29</v>
      </c>
      <c r="E97" s="617" t="s">
        <v>1672</v>
      </c>
      <c r="F97" s="617" t="s">
        <v>24</v>
      </c>
      <c r="G97" s="624"/>
      <c r="H97" s="669">
        <v>43001</v>
      </c>
      <c r="I97" s="617" t="s">
        <v>4871</v>
      </c>
      <c r="J97" s="617" t="s">
        <v>26</v>
      </c>
      <c r="K97" s="624"/>
      <c r="L97" s="617" t="s">
        <v>110</v>
      </c>
      <c r="M97" s="622">
        <v>28850</v>
      </c>
      <c r="N97" s="622">
        <v>33000</v>
      </c>
      <c r="O97" s="622">
        <v>37100</v>
      </c>
      <c r="P97" s="622">
        <v>41200</v>
      </c>
      <c r="Q97" s="622">
        <v>44500</v>
      </c>
      <c r="R97" s="622">
        <v>47800</v>
      </c>
      <c r="S97" s="622">
        <v>51100</v>
      </c>
      <c r="T97" s="622">
        <v>54400</v>
      </c>
      <c r="U97" s="636">
        <f t="shared" si="3"/>
        <v>30925</v>
      </c>
      <c r="V97" s="636">
        <f t="shared" si="4"/>
        <v>42850</v>
      </c>
      <c r="W97" s="636">
        <f t="shared" si="5"/>
        <v>52750</v>
      </c>
      <c r="X97" s="624"/>
      <c r="Y97" s="624"/>
      <c r="Z97" s="624"/>
      <c r="AA97" s="624"/>
      <c r="AB97" s="663">
        <v>39009973700</v>
      </c>
      <c r="AC97" s="663" t="s">
        <v>5027</v>
      </c>
      <c r="AD97" s="663" t="s">
        <v>4941</v>
      </c>
      <c r="AE97" s="663" t="s">
        <v>4939</v>
      </c>
      <c r="AF97" s="663" t="s">
        <v>4929</v>
      </c>
    </row>
    <row r="98" spans="1:32" s="608" customFormat="1" x14ac:dyDescent="0.25">
      <c r="A98" s="624"/>
      <c r="B98" s="617">
        <v>39009973000</v>
      </c>
      <c r="C98" s="617" t="s">
        <v>1766</v>
      </c>
      <c r="D98" s="617" t="s">
        <v>29</v>
      </c>
      <c r="E98" s="617" t="s">
        <v>1672</v>
      </c>
      <c r="F98" s="617" t="s">
        <v>26</v>
      </c>
      <c r="G98" s="624"/>
      <c r="H98" s="669">
        <v>43116</v>
      </c>
      <c r="I98" s="617" t="s">
        <v>4871</v>
      </c>
      <c r="J98" s="617" t="s">
        <v>26</v>
      </c>
      <c r="K98" s="624"/>
      <c r="L98" s="617" t="s">
        <v>111</v>
      </c>
      <c r="M98" s="622">
        <v>27700</v>
      </c>
      <c r="N98" s="622">
        <v>31650</v>
      </c>
      <c r="O98" s="622">
        <v>35600</v>
      </c>
      <c r="P98" s="622">
        <v>39550</v>
      </c>
      <c r="Q98" s="622">
        <v>42750</v>
      </c>
      <c r="R98" s="622">
        <v>45900</v>
      </c>
      <c r="S98" s="622">
        <v>49050</v>
      </c>
      <c r="T98" s="622">
        <v>52250</v>
      </c>
      <c r="U98" s="636">
        <f t="shared" si="3"/>
        <v>29675</v>
      </c>
      <c r="V98" s="636">
        <f t="shared" si="4"/>
        <v>41150</v>
      </c>
      <c r="W98" s="636">
        <f t="shared" si="5"/>
        <v>50650</v>
      </c>
      <c r="X98" s="624"/>
      <c r="Y98" s="624"/>
      <c r="Z98" s="624"/>
      <c r="AA98" s="624"/>
      <c r="AB98" s="663">
        <v>39009973800</v>
      </c>
      <c r="AC98" s="663" t="s">
        <v>5028</v>
      </c>
      <c r="AD98" s="663" t="s">
        <v>4950</v>
      </c>
      <c r="AE98" s="663" t="s">
        <v>4928</v>
      </c>
      <c r="AF98" s="663" t="s">
        <v>4929</v>
      </c>
    </row>
    <row r="99" spans="1:32" s="608" customFormat="1" x14ac:dyDescent="0.25">
      <c r="A99" s="624"/>
      <c r="B99" s="617">
        <v>39009973101</v>
      </c>
      <c r="C99" s="617" t="s">
        <v>1767</v>
      </c>
      <c r="D99" s="617" t="s">
        <v>29</v>
      </c>
      <c r="E99" s="617" t="s">
        <v>1672</v>
      </c>
      <c r="F99" s="617" t="s">
        <v>24</v>
      </c>
      <c r="G99" s="624"/>
      <c r="H99" s="669">
        <v>43528</v>
      </c>
      <c r="I99" s="617" t="s">
        <v>4872</v>
      </c>
      <c r="J99" s="617" t="s">
        <v>26</v>
      </c>
      <c r="K99" s="624"/>
      <c r="L99" s="624"/>
      <c r="M99" s="624"/>
      <c r="N99" s="624"/>
      <c r="O99" s="662"/>
      <c r="P99" s="662"/>
      <c r="Q99" s="662"/>
      <c r="R99" s="624"/>
      <c r="S99" s="624"/>
      <c r="T99" s="624"/>
      <c r="U99" s="624"/>
      <c r="V99" s="624"/>
      <c r="W99" s="624"/>
      <c r="X99" s="624"/>
      <c r="Y99" s="624"/>
      <c r="Z99" s="624"/>
      <c r="AA99" s="624"/>
      <c r="AB99" s="663">
        <v>39009973901</v>
      </c>
      <c r="AC99" s="663" t="s">
        <v>5029</v>
      </c>
      <c r="AD99" s="663" t="s">
        <v>4938</v>
      </c>
      <c r="AE99" s="663" t="s">
        <v>4931</v>
      </c>
      <c r="AF99" s="663" t="s">
        <v>4929</v>
      </c>
    </row>
    <row r="100" spans="1:32" s="608" customFormat="1" x14ac:dyDescent="0.25">
      <c r="A100" s="624"/>
      <c r="B100" s="617">
        <v>39009973200</v>
      </c>
      <c r="C100" s="617" t="s">
        <v>1768</v>
      </c>
      <c r="D100" s="617" t="s">
        <v>29</v>
      </c>
      <c r="E100" s="617" t="s">
        <v>1672</v>
      </c>
      <c r="F100" s="617" t="s">
        <v>26</v>
      </c>
      <c r="G100" s="624"/>
      <c r="H100" s="669">
        <v>44514</v>
      </c>
      <c r="I100" s="617" t="s">
        <v>4873</v>
      </c>
      <c r="J100" s="617" t="s">
        <v>26</v>
      </c>
      <c r="K100" s="624"/>
      <c r="O100" s="616"/>
      <c r="P100" s="616"/>
      <c r="Q100" s="616"/>
      <c r="AA100" s="624"/>
      <c r="AB100" s="663">
        <v>39009973902</v>
      </c>
      <c r="AC100" s="663" t="s">
        <v>5030</v>
      </c>
      <c r="AD100" s="663" t="s">
        <v>4938</v>
      </c>
      <c r="AE100" s="663" t="s">
        <v>4939</v>
      </c>
      <c r="AF100" s="663" t="s">
        <v>4983</v>
      </c>
    </row>
    <row r="101" spans="1:32" s="608" customFormat="1" x14ac:dyDescent="0.25">
      <c r="A101" s="624"/>
      <c r="B101" s="617">
        <v>39009973300</v>
      </c>
      <c r="C101" s="617" t="s">
        <v>1769</v>
      </c>
      <c r="D101" s="617" t="s">
        <v>29</v>
      </c>
      <c r="E101" s="617" t="s">
        <v>1672</v>
      </c>
      <c r="F101" s="617" t="s">
        <v>26</v>
      </c>
      <c r="G101" s="624"/>
      <c r="H101" s="669">
        <v>43076</v>
      </c>
      <c r="I101" s="617" t="s">
        <v>1677</v>
      </c>
      <c r="J101" s="617" t="s">
        <v>26</v>
      </c>
      <c r="K101" s="624"/>
      <c r="O101" s="616"/>
      <c r="P101" s="616"/>
      <c r="Q101" s="616"/>
      <c r="AA101" s="624"/>
      <c r="AB101" s="663">
        <v>39011040100</v>
      </c>
      <c r="AC101" s="663" t="s">
        <v>5031</v>
      </c>
      <c r="AD101" s="663" t="s">
        <v>4948</v>
      </c>
      <c r="AE101" s="663" t="s">
        <v>4934</v>
      </c>
      <c r="AF101" s="663" t="s">
        <v>4929</v>
      </c>
    </row>
    <row r="102" spans="1:32" s="608" customFormat="1" x14ac:dyDescent="0.25">
      <c r="A102" s="624"/>
      <c r="B102" s="617">
        <v>39009973400</v>
      </c>
      <c r="C102" s="617" t="s">
        <v>1770</v>
      </c>
      <c r="D102" s="617" t="s">
        <v>29</v>
      </c>
      <c r="E102" s="617" t="s">
        <v>1672</v>
      </c>
      <c r="F102" s="617" t="s">
        <v>24</v>
      </c>
      <c r="G102" s="624"/>
      <c r="H102" s="669">
        <v>43010</v>
      </c>
      <c r="I102" s="617" t="s">
        <v>4876</v>
      </c>
      <c r="J102" s="617" t="s">
        <v>26</v>
      </c>
      <c r="K102" s="624"/>
      <c r="O102" s="616"/>
      <c r="P102" s="616"/>
      <c r="Q102" s="616"/>
      <c r="AA102" s="624"/>
      <c r="AB102" s="663">
        <v>39011040200</v>
      </c>
      <c r="AC102" s="663" t="s">
        <v>5032</v>
      </c>
      <c r="AD102" s="663" t="s">
        <v>4948</v>
      </c>
      <c r="AE102" s="663" t="s">
        <v>4942</v>
      </c>
      <c r="AF102" s="663" t="s">
        <v>4929</v>
      </c>
    </row>
    <row r="103" spans="1:32" s="608" customFormat="1" x14ac:dyDescent="0.25">
      <c r="A103" s="624"/>
      <c r="B103" s="617">
        <v>39009973500</v>
      </c>
      <c r="C103" s="617" t="s">
        <v>1771</v>
      </c>
      <c r="D103" s="617" t="s">
        <v>29</v>
      </c>
      <c r="E103" s="617" t="s">
        <v>1672</v>
      </c>
      <c r="F103" s="617" t="s">
        <v>26</v>
      </c>
      <c r="G103" s="624"/>
      <c r="H103" s="669">
        <v>44138</v>
      </c>
      <c r="I103" s="617" t="s">
        <v>4869</v>
      </c>
      <c r="J103" s="617" t="s">
        <v>26</v>
      </c>
      <c r="K103" s="624"/>
      <c r="O103" s="616"/>
      <c r="P103" s="616"/>
      <c r="Q103" s="616"/>
      <c r="AA103" s="624"/>
      <c r="AB103" s="663">
        <v>39011040300</v>
      </c>
      <c r="AC103" s="663" t="s">
        <v>5033</v>
      </c>
      <c r="AD103" s="663" t="s">
        <v>4948</v>
      </c>
      <c r="AE103" s="663" t="s">
        <v>4939</v>
      </c>
      <c r="AF103" s="663" t="s">
        <v>4983</v>
      </c>
    </row>
    <row r="104" spans="1:32" s="608" customFormat="1" x14ac:dyDescent="0.25">
      <c r="A104" s="624"/>
      <c r="B104" s="617">
        <v>39009973600</v>
      </c>
      <c r="C104" s="617" t="s">
        <v>1772</v>
      </c>
      <c r="D104" s="617" t="s">
        <v>29</v>
      </c>
      <c r="E104" s="617" t="s">
        <v>1672</v>
      </c>
      <c r="F104" s="617" t="s">
        <v>26</v>
      </c>
      <c r="G104" s="624"/>
      <c r="H104" s="669">
        <v>44669</v>
      </c>
      <c r="I104" s="617" t="s">
        <v>4874</v>
      </c>
      <c r="J104" s="617" t="s">
        <v>26</v>
      </c>
      <c r="K104" s="624"/>
      <c r="O104" s="616"/>
      <c r="P104" s="616"/>
      <c r="Q104" s="616"/>
      <c r="AA104" s="624"/>
      <c r="AB104" s="663">
        <v>39011040400</v>
      </c>
      <c r="AC104" s="663" t="s">
        <v>5034</v>
      </c>
      <c r="AD104" s="663" t="s">
        <v>4941</v>
      </c>
      <c r="AE104" s="663" t="s">
        <v>4942</v>
      </c>
      <c r="AF104" s="663" t="s">
        <v>4929</v>
      </c>
    </row>
    <row r="105" spans="1:32" s="608" customFormat="1" x14ac:dyDescent="0.25">
      <c r="A105" s="624"/>
      <c r="B105" s="617">
        <v>39009973700</v>
      </c>
      <c r="C105" s="617" t="s">
        <v>1773</v>
      </c>
      <c r="D105" s="617" t="s">
        <v>29</v>
      </c>
      <c r="E105" s="617" t="s">
        <v>1672</v>
      </c>
      <c r="F105" s="617" t="s">
        <v>26</v>
      </c>
      <c r="G105" s="624"/>
      <c r="H105" s="669">
        <v>45131</v>
      </c>
      <c r="I105" s="617" t="s">
        <v>1674</v>
      </c>
      <c r="J105" s="617" t="s">
        <v>26</v>
      </c>
      <c r="K105" s="624"/>
      <c r="O105" s="616"/>
      <c r="P105" s="616"/>
      <c r="Q105" s="616"/>
      <c r="AA105" s="624"/>
      <c r="AB105" s="663">
        <v>39011040500</v>
      </c>
      <c r="AC105" s="663" t="s">
        <v>5035</v>
      </c>
      <c r="AD105" s="663" t="s">
        <v>4941</v>
      </c>
      <c r="AE105" s="663" t="s">
        <v>4942</v>
      </c>
      <c r="AF105" s="663" t="s">
        <v>4929</v>
      </c>
    </row>
    <row r="106" spans="1:32" s="608" customFormat="1" x14ac:dyDescent="0.25">
      <c r="A106" s="624"/>
      <c r="B106" s="617">
        <v>39009973800</v>
      </c>
      <c r="C106" s="617" t="s">
        <v>1774</v>
      </c>
      <c r="D106" s="617" t="s">
        <v>29</v>
      </c>
      <c r="E106" s="617" t="s">
        <v>1672</v>
      </c>
      <c r="F106" s="617" t="s">
        <v>26</v>
      </c>
      <c r="G106" s="624"/>
      <c r="H106" s="669">
        <v>44094</v>
      </c>
      <c r="I106" s="617" t="s">
        <v>4869</v>
      </c>
      <c r="J106" s="617" t="s">
        <v>26</v>
      </c>
      <c r="K106" s="624"/>
      <c r="O106" s="616"/>
      <c r="P106" s="616"/>
      <c r="Q106" s="616"/>
      <c r="AA106" s="624"/>
      <c r="AB106" s="663">
        <v>39011040600</v>
      </c>
      <c r="AC106" s="663" t="s">
        <v>5036</v>
      </c>
      <c r="AD106" s="663" t="s">
        <v>4941</v>
      </c>
      <c r="AE106" s="663" t="s">
        <v>4939</v>
      </c>
      <c r="AF106" s="663" t="s">
        <v>4929</v>
      </c>
    </row>
    <row r="107" spans="1:32" s="608" customFormat="1" x14ac:dyDescent="0.25">
      <c r="A107" s="624"/>
      <c r="B107" s="617">
        <v>39009973901</v>
      </c>
      <c r="C107" s="617" t="s">
        <v>1775</v>
      </c>
      <c r="D107" s="617" t="s">
        <v>29</v>
      </c>
      <c r="E107" s="617" t="s">
        <v>1672</v>
      </c>
      <c r="F107" s="617" t="s">
        <v>24</v>
      </c>
      <c r="G107" s="624"/>
      <c r="H107" s="669">
        <v>45305</v>
      </c>
      <c r="I107" s="617" t="s">
        <v>4870</v>
      </c>
      <c r="J107" s="617" t="s">
        <v>26</v>
      </c>
      <c r="K107" s="624"/>
      <c r="O107" s="616"/>
      <c r="P107" s="616"/>
      <c r="Q107" s="616"/>
      <c r="AA107" s="624"/>
      <c r="AB107" s="663">
        <v>39011040900</v>
      </c>
      <c r="AC107" s="663" t="s">
        <v>5037</v>
      </c>
      <c r="AD107" s="663" t="s">
        <v>4938</v>
      </c>
      <c r="AE107" s="663" t="s">
        <v>4939</v>
      </c>
      <c r="AF107" s="663" t="s">
        <v>4929</v>
      </c>
    </row>
    <row r="108" spans="1:32" s="608" customFormat="1" x14ac:dyDescent="0.25">
      <c r="A108" s="624"/>
      <c r="B108" s="617">
        <v>39009973902</v>
      </c>
      <c r="C108" s="617" t="s">
        <v>1776</v>
      </c>
      <c r="D108" s="617" t="s">
        <v>29</v>
      </c>
      <c r="E108" s="617" t="s">
        <v>1672</v>
      </c>
      <c r="F108" s="617" t="s">
        <v>24</v>
      </c>
      <c r="G108" s="624"/>
      <c r="H108" s="669">
        <v>44264</v>
      </c>
      <c r="I108" s="617" t="s">
        <v>4868</v>
      </c>
      <c r="J108" s="617" t="s">
        <v>26</v>
      </c>
      <c r="K108" s="624"/>
      <c r="O108" s="616"/>
      <c r="P108" s="616"/>
      <c r="Q108" s="616"/>
      <c r="AA108" s="624"/>
      <c r="AB108" s="663">
        <v>39011041000</v>
      </c>
      <c r="AC108" s="663" t="s">
        <v>5038</v>
      </c>
      <c r="AD108" s="663" t="s">
        <v>4938</v>
      </c>
      <c r="AE108" s="663" t="s">
        <v>4931</v>
      </c>
      <c r="AF108" s="663" t="s">
        <v>4929</v>
      </c>
    </row>
    <row r="109" spans="1:32" s="608" customFormat="1" x14ac:dyDescent="0.25">
      <c r="A109" s="624"/>
      <c r="B109" s="617">
        <v>39011040100</v>
      </c>
      <c r="C109" s="617" t="s">
        <v>1777</v>
      </c>
      <c r="D109" s="617" t="s">
        <v>30</v>
      </c>
      <c r="E109" s="617" t="s">
        <v>1672</v>
      </c>
      <c r="F109" s="617" t="s">
        <v>26</v>
      </c>
      <c r="G109" s="624"/>
      <c r="H109" s="669">
        <v>43220</v>
      </c>
      <c r="I109" s="617" t="s">
        <v>4871</v>
      </c>
      <c r="J109" s="617" t="s">
        <v>26</v>
      </c>
      <c r="K109" s="624"/>
      <c r="O109" s="616"/>
      <c r="P109" s="616"/>
      <c r="Q109" s="616"/>
      <c r="AA109" s="624"/>
      <c r="AB109" s="663">
        <v>39011041100</v>
      </c>
      <c r="AC109" s="663" t="s">
        <v>5039</v>
      </c>
      <c r="AD109" s="663" t="s">
        <v>4941</v>
      </c>
      <c r="AE109" s="663" t="s">
        <v>4942</v>
      </c>
      <c r="AF109" s="663" t="s">
        <v>4929</v>
      </c>
    </row>
    <row r="110" spans="1:32" s="608" customFormat="1" x14ac:dyDescent="0.25">
      <c r="A110" s="624"/>
      <c r="B110" s="617">
        <v>39011040200</v>
      </c>
      <c r="C110" s="617" t="s">
        <v>1778</v>
      </c>
      <c r="D110" s="617" t="s">
        <v>30</v>
      </c>
      <c r="E110" s="617" t="s">
        <v>1672</v>
      </c>
      <c r="F110" s="617" t="s">
        <v>26</v>
      </c>
      <c r="G110" s="624"/>
      <c r="H110" s="669">
        <v>43016</v>
      </c>
      <c r="I110" s="617" t="s">
        <v>1678</v>
      </c>
      <c r="J110" s="617" t="s">
        <v>26</v>
      </c>
      <c r="K110" s="624"/>
      <c r="O110" s="616"/>
      <c r="P110" s="616"/>
      <c r="Q110" s="616"/>
      <c r="AA110" s="624"/>
      <c r="AB110" s="663">
        <v>39011041201</v>
      </c>
      <c r="AC110" s="663" t="s">
        <v>5040</v>
      </c>
      <c r="AD110" s="663" t="s">
        <v>4941</v>
      </c>
      <c r="AE110" s="663" t="s">
        <v>4939</v>
      </c>
      <c r="AF110" s="663" t="s">
        <v>4929</v>
      </c>
    </row>
    <row r="111" spans="1:32" s="608" customFormat="1" x14ac:dyDescent="0.25">
      <c r="A111" s="624"/>
      <c r="B111" s="617">
        <v>39011040300</v>
      </c>
      <c r="C111" s="617" t="s">
        <v>1779</v>
      </c>
      <c r="D111" s="617" t="s">
        <v>30</v>
      </c>
      <c r="E111" s="617" t="s">
        <v>1672</v>
      </c>
      <c r="F111" s="617" t="s">
        <v>26</v>
      </c>
      <c r="G111" s="624"/>
      <c r="H111" s="669">
        <v>45255</v>
      </c>
      <c r="I111" s="617" t="s">
        <v>4867</v>
      </c>
      <c r="J111" s="617" t="s">
        <v>26</v>
      </c>
      <c r="K111" s="624"/>
      <c r="O111" s="616"/>
      <c r="P111" s="616"/>
      <c r="Q111" s="616"/>
      <c r="AA111" s="624"/>
      <c r="AB111" s="663">
        <v>39011041202</v>
      </c>
      <c r="AC111" s="663" t="s">
        <v>5041</v>
      </c>
      <c r="AD111" s="663" t="s">
        <v>4941</v>
      </c>
      <c r="AE111" s="663" t="s">
        <v>4939</v>
      </c>
      <c r="AF111" s="663" t="s">
        <v>4929</v>
      </c>
    </row>
    <row r="112" spans="1:32" s="608" customFormat="1" x14ac:dyDescent="0.25">
      <c r="A112" s="624"/>
      <c r="B112" s="617">
        <v>39011040400</v>
      </c>
      <c r="C112" s="617" t="s">
        <v>1780</v>
      </c>
      <c r="D112" s="617" t="s">
        <v>30</v>
      </c>
      <c r="E112" s="617" t="s">
        <v>1672</v>
      </c>
      <c r="F112" s="617" t="s">
        <v>26</v>
      </c>
      <c r="G112" s="624"/>
      <c r="H112" s="669">
        <v>43412</v>
      </c>
      <c r="I112" s="617" t="s">
        <v>1676</v>
      </c>
      <c r="J112" s="617" t="s">
        <v>26</v>
      </c>
      <c r="K112" s="624"/>
      <c r="O112" s="616"/>
      <c r="P112" s="616"/>
      <c r="Q112" s="616"/>
      <c r="AA112" s="624"/>
      <c r="AB112" s="663">
        <v>39013010100</v>
      </c>
      <c r="AC112" s="663" t="s">
        <v>5042</v>
      </c>
      <c r="AD112" s="663" t="s">
        <v>4927</v>
      </c>
      <c r="AE112" s="663" t="s">
        <v>4942</v>
      </c>
      <c r="AF112" s="663" t="s">
        <v>4929</v>
      </c>
    </row>
    <row r="113" spans="1:32" s="608" customFormat="1" x14ac:dyDescent="0.25">
      <c r="A113" s="624"/>
      <c r="B113" s="617">
        <v>39011040500</v>
      </c>
      <c r="C113" s="617" t="s">
        <v>1781</v>
      </c>
      <c r="D113" s="617" t="s">
        <v>30</v>
      </c>
      <c r="E113" s="617" t="s">
        <v>1672</v>
      </c>
      <c r="F113" s="617" t="s">
        <v>26</v>
      </c>
      <c r="G113" s="624"/>
      <c r="H113" s="669">
        <v>43468</v>
      </c>
      <c r="I113" s="617" t="s">
        <v>1676</v>
      </c>
      <c r="J113" s="617" t="s">
        <v>26</v>
      </c>
      <c r="K113" s="624"/>
      <c r="O113" s="616"/>
      <c r="P113" s="616"/>
      <c r="Q113" s="616"/>
      <c r="AA113" s="624"/>
      <c r="AB113" s="663">
        <v>39013010200</v>
      </c>
      <c r="AC113" s="663" t="s">
        <v>5043</v>
      </c>
      <c r="AD113" s="663" t="s">
        <v>4950</v>
      </c>
      <c r="AE113" s="663" t="s">
        <v>4942</v>
      </c>
      <c r="AF113" s="663" t="s">
        <v>4929</v>
      </c>
    </row>
    <row r="114" spans="1:32" s="608" customFormat="1" x14ac:dyDescent="0.25">
      <c r="A114" s="624"/>
      <c r="B114" s="617">
        <v>39011040600</v>
      </c>
      <c r="C114" s="617" t="s">
        <v>1782</v>
      </c>
      <c r="D114" s="617" t="s">
        <v>30</v>
      </c>
      <c r="E114" s="617" t="s">
        <v>1672</v>
      </c>
      <c r="F114" s="617" t="s">
        <v>26</v>
      </c>
      <c r="G114" s="624"/>
      <c r="H114" s="669">
        <v>45409</v>
      </c>
      <c r="I114" s="617" t="s">
        <v>4870</v>
      </c>
      <c r="J114" s="617" t="s">
        <v>26</v>
      </c>
      <c r="K114" s="624"/>
      <c r="O114" s="616"/>
      <c r="P114" s="616"/>
      <c r="Q114" s="616"/>
      <c r="AA114" s="624"/>
      <c r="AB114" s="663">
        <v>39013010300</v>
      </c>
      <c r="AC114" s="663" t="s">
        <v>5044</v>
      </c>
      <c r="AD114" s="663" t="s">
        <v>4948</v>
      </c>
      <c r="AE114" s="663" t="s">
        <v>4939</v>
      </c>
      <c r="AF114" s="663" t="s">
        <v>4929</v>
      </c>
    </row>
    <row r="115" spans="1:32" s="608" customFormat="1" x14ac:dyDescent="0.25">
      <c r="A115" s="624"/>
      <c r="B115" s="617">
        <v>39011040900</v>
      </c>
      <c r="C115" s="617" t="s">
        <v>1783</v>
      </c>
      <c r="D115" s="617" t="s">
        <v>30</v>
      </c>
      <c r="E115" s="617" t="s">
        <v>1672</v>
      </c>
      <c r="F115" s="617" t="s">
        <v>26</v>
      </c>
      <c r="G115" s="624"/>
      <c r="H115" s="669">
        <v>44201</v>
      </c>
      <c r="I115" s="617" t="s">
        <v>4868</v>
      </c>
      <c r="J115" s="617" t="s">
        <v>26</v>
      </c>
      <c r="K115" s="624"/>
      <c r="O115" s="616"/>
      <c r="P115" s="616"/>
      <c r="Q115" s="616"/>
      <c r="AA115" s="624"/>
      <c r="AB115" s="663">
        <v>39013010600</v>
      </c>
      <c r="AC115" s="663" t="s">
        <v>5045</v>
      </c>
      <c r="AD115" s="663" t="s">
        <v>4950</v>
      </c>
      <c r="AE115" s="663" t="s">
        <v>4928</v>
      </c>
      <c r="AF115" s="663" t="s">
        <v>4929</v>
      </c>
    </row>
    <row r="116" spans="1:32" s="608" customFormat="1" x14ac:dyDescent="0.25">
      <c r="A116" s="624"/>
      <c r="B116" s="617">
        <v>39011041000</v>
      </c>
      <c r="C116" s="617" t="s">
        <v>1784</v>
      </c>
      <c r="D116" s="617" t="s">
        <v>30</v>
      </c>
      <c r="E116" s="617" t="s">
        <v>1672</v>
      </c>
      <c r="F116" s="617" t="s">
        <v>26</v>
      </c>
      <c r="G116" s="624"/>
      <c r="H116" s="669">
        <v>44286</v>
      </c>
      <c r="I116" s="617" t="s">
        <v>4868</v>
      </c>
      <c r="J116" s="617" t="s">
        <v>26</v>
      </c>
      <c r="K116" s="624"/>
      <c r="O116" s="616"/>
      <c r="P116" s="616"/>
      <c r="Q116" s="616"/>
      <c r="AA116" s="624"/>
      <c r="AB116" s="663">
        <v>39013010700</v>
      </c>
      <c r="AC116" s="663" t="s">
        <v>5046</v>
      </c>
      <c r="AD116" s="663" t="s">
        <v>4948</v>
      </c>
      <c r="AE116" s="663" t="s">
        <v>4928</v>
      </c>
      <c r="AF116" s="663" t="s">
        <v>4929</v>
      </c>
    </row>
    <row r="117" spans="1:32" s="608" customFormat="1" x14ac:dyDescent="0.25">
      <c r="A117" s="624"/>
      <c r="B117" s="617">
        <v>39011041100</v>
      </c>
      <c r="C117" s="617" t="s">
        <v>1785</v>
      </c>
      <c r="D117" s="617" t="s">
        <v>30</v>
      </c>
      <c r="E117" s="617" t="s">
        <v>1672</v>
      </c>
      <c r="F117" s="617" t="s">
        <v>26</v>
      </c>
      <c r="G117" s="624"/>
      <c r="H117" s="669">
        <v>44272</v>
      </c>
      <c r="I117" s="617" t="s">
        <v>4868</v>
      </c>
      <c r="J117" s="617" t="s">
        <v>26</v>
      </c>
      <c r="K117" s="624"/>
      <c r="O117" s="616"/>
      <c r="P117" s="616"/>
      <c r="Q117" s="616"/>
      <c r="AA117" s="624"/>
      <c r="AB117" s="663">
        <v>39013010802</v>
      </c>
      <c r="AC117" s="663" t="s">
        <v>5047</v>
      </c>
      <c r="AD117" s="663" t="s">
        <v>4950</v>
      </c>
      <c r="AE117" s="663" t="s">
        <v>4939</v>
      </c>
      <c r="AF117" s="663" t="s">
        <v>4929</v>
      </c>
    </row>
    <row r="118" spans="1:32" s="608" customFormat="1" x14ac:dyDescent="0.25">
      <c r="A118" s="624"/>
      <c r="B118" s="617">
        <v>39011041201</v>
      </c>
      <c r="C118" s="617" t="s">
        <v>1786</v>
      </c>
      <c r="D118" s="617" t="s">
        <v>30</v>
      </c>
      <c r="E118" s="617" t="s">
        <v>1672</v>
      </c>
      <c r="F118" s="617" t="s">
        <v>26</v>
      </c>
      <c r="G118" s="624"/>
      <c r="H118" s="669">
        <v>41051</v>
      </c>
      <c r="I118" s="617" t="s">
        <v>4867</v>
      </c>
      <c r="J118" s="617" t="s">
        <v>26</v>
      </c>
      <c r="K118" s="624"/>
      <c r="O118" s="616"/>
      <c r="P118" s="616"/>
      <c r="Q118" s="616"/>
      <c r="AA118" s="624"/>
      <c r="AB118" s="663">
        <v>39013010900</v>
      </c>
      <c r="AC118" s="663" t="s">
        <v>5048</v>
      </c>
      <c r="AD118" s="663" t="s">
        <v>4950</v>
      </c>
      <c r="AE118" s="663" t="s">
        <v>4931</v>
      </c>
      <c r="AF118" s="663" t="s">
        <v>4929</v>
      </c>
    </row>
    <row r="119" spans="1:32" s="608" customFormat="1" x14ac:dyDescent="0.25">
      <c r="A119" s="624"/>
      <c r="B119" s="617">
        <v>39011041202</v>
      </c>
      <c r="C119" s="617" t="s">
        <v>1787</v>
      </c>
      <c r="D119" s="617" t="s">
        <v>30</v>
      </c>
      <c r="E119" s="617" t="s">
        <v>1672</v>
      </c>
      <c r="F119" s="617" t="s">
        <v>26</v>
      </c>
      <c r="G119" s="624"/>
      <c r="H119" s="669">
        <v>45246</v>
      </c>
      <c r="I119" s="617" t="s">
        <v>4867</v>
      </c>
      <c r="J119" s="617" t="s">
        <v>26</v>
      </c>
      <c r="K119" s="624"/>
      <c r="O119" s="616"/>
      <c r="P119" s="616"/>
      <c r="Q119" s="616"/>
      <c r="AA119" s="624"/>
      <c r="AB119" s="663">
        <v>39013011000</v>
      </c>
      <c r="AC119" s="663" t="s">
        <v>5049</v>
      </c>
      <c r="AD119" s="663" t="s">
        <v>4927</v>
      </c>
      <c r="AE119" s="663" t="s">
        <v>4928</v>
      </c>
      <c r="AF119" s="663" t="s">
        <v>4929</v>
      </c>
    </row>
    <row r="120" spans="1:32" s="608" customFormat="1" x14ac:dyDescent="0.25">
      <c r="A120" s="624"/>
      <c r="B120" s="617">
        <v>39013010100</v>
      </c>
      <c r="C120" s="617" t="s">
        <v>1788</v>
      </c>
      <c r="D120" s="617" t="s">
        <v>31</v>
      </c>
      <c r="E120" s="617" t="s">
        <v>4849</v>
      </c>
      <c r="F120" s="617" t="s">
        <v>26</v>
      </c>
      <c r="G120" s="624"/>
      <c r="H120" s="669">
        <v>45502</v>
      </c>
      <c r="I120" s="617" t="s">
        <v>4876</v>
      </c>
      <c r="J120" s="617" t="s">
        <v>26</v>
      </c>
      <c r="K120" s="624"/>
      <c r="O120" s="616"/>
      <c r="P120" s="616"/>
      <c r="Q120" s="616"/>
      <c r="AA120" s="624"/>
      <c r="AB120" s="663">
        <v>39013011200</v>
      </c>
      <c r="AC120" s="663" t="s">
        <v>5050</v>
      </c>
      <c r="AD120" s="663" t="s">
        <v>4950</v>
      </c>
      <c r="AE120" s="663" t="s">
        <v>4939</v>
      </c>
      <c r="AF120" s="663" t="s">
        <v>4929</v>
      </c>
    </row>
    <row r="121" spans="1:32" s="608" customFormat="1" x14ac:dyDescent="0.25">
      <c r="A121" s="624"/>
      <c r="B121" s="617">
        <v>39013010200</v>
      </c>
      <c r="C121" s="617" t="s">
        <v>1789</v>
      </c>
      <c r="D121" s="617" t="s">
        <v>31</v>
      </c>
      <c r="E121" s="617" t="s">
        <v>4849</v>
      </c>
      <c r="F121" s="617" t="s">
        <v>26</v>
      </c>
      <c r="G121" s="624"/>
      <c r="H121" s="669">
        <v>43044</v>
      </c>
      <c r="I121" s="617" t="s">
        <v>4876</v>
      </c>
      <c r="J121" s="617" t="s">
        <v>26</v>
      </c>
      <c r="K121" s="624"/>
      <c r="O121" s="616"/>
      <c r="P121" s="616"/>
      <c r="Q121" s="616"/>
      <c r="AA121" s="624"/>
      <c r="AB121" s="663">
        <v>39013011300</v>
      </c>
      <c r="AC121" s="663" t="s">
        <v>5051</v>
      </c>
      <c r="AD121" s="663" t="s">
        <v>4950</v>
      </c>
      <c r="AE121" s="663" t="s">
        <v>4939</v>
      </c>
      <c r="AF121" s="663" t="s">
        <v>4946</v>
      </c>
    </row>
    <row r="122" spans="1:32" s="608" customFormat="1" x14ac:dyDescent="0.25">
      <c r="A122" s="624"/>
      <c r="B122" s="617">
        <v>39013010300</v>
      </c>
      <c r="C122" s="617" t="s">
        <v>1790</v>
      </c>
      <c r="D122" s="617" t="s">
        <v>31</v>
      </c>
      <c r="E122" s="617" t="s">
        <v>4849</v>
      </c>
      <c r="F122" s="617" t="s">
        <v>26</v>
      </c>
      <c r="G122" s="624"/>
      <c r="H122" s="669">
        <v>45142</v>
      </c>
      <c r="I122" s="617" t="s">
        <v>1674</v>
      </c>
      <c r="J122" s="617" t="s">
        <v>26</v>
      </c>
      <c r="K122" s="624"/>
      <c r="O122" s="616"/>
      <c r="P122" s="616"/>
      <c r="Q122" s="616"/>
      <c r="AA122" s="624"/>
      <c r="AB122" s="663">
        <v>39013011400</v>
      </c>
      <c r="AC122" s="663" t="s">
        <v>5052</v>
      </c>
      <c r="AD122" s="663" t="s">
        <v>4950</v>
      </c>
      <c r="AE122" s="663" t="s">
        <v>4934</v>
      </c>
      <c r="AF122" s="663" t="s">
        <v>4929</v>
      </c>
    </row>
    <row r="123" spans="1:32" s="608" customFormat="1" x14ac:dyDescent="0.25">
      <c r="A123" s="624"/>
      <c r="B123" s="617">
        <v>39013010600</v>
      </c>
      <c r="C123" s="617" t="s">
        <v>1791</v>
      </c>
      <c r="D123" s="617" t="s">
        <v>31</v>
      </c>
      <c r="E123" s="617" t="s">
        <v>4849</v>
      </c>
      <c r="F123" s="617" t="s">
        <v>26</v>
      </c>
      <c r="G123" s="624"/>
      <c r="H123" s="669">
        <v>43102</v>
      </c>
      <c r="I123" s="617" t="s">
        <v>1675</v>
      </c>
      <c r="J123" s="617" t="s">
        <v>26</v>
      </c>
      <c r="K123" s="624"/>
      <c r="O123" s="616"/>
      <c r="P123" s="616"/>
      <c r="Q123" s="616"/>
      <c r="AA123" s="624"/>
      <c r="AB123" s="663">
        <v>39013011500</v>
      </c>
      <c r="AC123" s="663" t="s">
        <v>5053</v>
      </c>
      <c r="AD123" s="663" t="s">
        <v>4927</v>
      </c>
      <c r="AE123" s="663" t="s">
        <v>4934</v>
      </c>
      <c r="AF123" s="663" t="s">
        <v>4946</v>
      </c>
    </row>
    <row r="124" spans="1:32" s="608" customFormat="1" x14ac:dyDescent="0.25">
      <c r="A124" s="624"/>
      <c r="B124" s="617">
        <v>39013010700</v>
      </c>
      <c r="C124" s="617" t="s">
        <v>1792</v>
      </c>
      <c r="D124" s="617" t="s">
        <v>31</v>
      </c>
      <c r="E124" s="617" t="s">
        <v>4849</v>
      </c>
      <c r="F124" s="617" t="s">
        <v>26</v>
      </c>
      <c r="G124" s="624"/>
      <c r="H124" s="669">
        <v>43565</v>
      </c>
      <c r="I124" s="617" t="s">
        <v>4872</v>
      </c>
      <c r="J124" s="617" t="s">
        <v>26</v>
      </c>
      <c r="K124" s="624"/>
      <c r="O124" s="616"/>
      <c r="P124" s="616"/>
      <c r="Q124" s="616"/>
      <c r="AA124" s="624"/>
      <c r="AB124" s="663">
        <v>39013011600</v>
      </c>
      <c r="AC124" s="663" t="s">
        <v>5054</v>
      </c>
      <c r="AD124" s="663" t="s">
        <v>4927</v>
      </c>
      <c r="AE124" s="663" t="s">
        <v>4942</v>
      </c>
      <c r="AF124" s="663" t="s">
        <v>4946</v>
      </c>
    </row>
    <row r="125" spans="1:32" s="608" customFormat="1" x14ac:dyDescent="0.25">
      <c r="A125" s="624"/>
      <c r="B125" s="617">
        <v>39013010802</v>
      </c>
      <c r="C125" s="617" t="s">
        <v>1793</v>
      </c>
      <c r="D125" s="617" t="s">
        <v>31</v>
      </c>
      <c r="E125" s="617" t="s">
        <v>4849</v>
      </c>
      <c r="F125" s="617" t="s">
        <v>26</v>
      </c>
      <c r="G125" s="624"/>
      <c r="H125" s="669">
        <v>44250</v>
      </c>
      <c r="I125" s="617" t="s">
        <v>4868</v>
      </c>
      <c r="J125" s="617" t="s">
        <v>26</v>
      </c>
      <c r="K125" s="624"/>
      <c r="O125" s="616"/>
      <c r="P125" s="616"/>
      <c r="Q125" s="616"/>
      <c r="AA125" s="624"/>
      <c r="AB125" s="663">
        <v>39013011700</v>
      </c>
      <c r="AC125" s="663" t="s">
        <v>5055</v>
      </c>
      <c r="AD125" s="663" t="s">
        <v>4927</v>
      </c>
      <c r="AE125" s="663" t="s">
        <v>4928</v>
      </c>
      <c r="AF125" s="663" t="s">
        <v>4946</v>
      </c>
    </row>
    <row r="126" spans="1:32" s="608" customFormat="1" x14ac:dyDescent="0.25">
      <c r="A126" s="624"/>
      <c r="B126" s="617">
        <v>39013010901</v>
      </c>
      <c r="C126" s="617" t="s">
        <v>1794</v>
      </c>
      <c r="D126" s="617" t="s">
        <v>31</v>
      </c>
      <c r="E126" s="617" t="s">
        <v>4849</v>
      </c>
      <c r="F126" s="617" t="s">
        <v>26</v>
      </c>
      <c r="G126" s="624"/>
      <c r="H126" s="669">
        <v>44118</v>
      </c>
      <c r="I126" s="617" t="s">
        <v>4869</v>
      </c>
      <c r="J126" s="617" t="s">
        <v>26</v>
      </c>
      <c r="K126" s="624"/>
      <c r="O126" s="616"/>
      <c r="P126" s="616"/>
      <c r="Q126" s="616"/>
      <c r="AA126" s="624"/>
      <c r="AB126" s="663">
        <v>39013011900</v>
      </c>
      <c r="AC126" s="663" t="s">
        <v>5056</v>
      </c>
      <c r="AD126" s="663" t="s">
        <v>4950</v>
      </c>
      <c r="AE126" s="663" t="s">
        <v>4928</v>
      </c>
      <c r="AF126" s="663" t="s">
        <v>4946</v>
      </c>
    </row>
    <row r="127" spans="1:32" s="608" customFormat="1" x14ac:dyDescent="0.25">
      <c r="A127" s="624"/>
      <c r="B127" s="617">
        <v>39013010902</v>
      </c>
      <c r="C127" s="617" t="s">
        <v>1795</v>
      </c>
      <c r="D127" s="617" t="s">
        <v>31</v>
      </c>
      <c r="E127" s="617" t="s">
        <v>4849</v>
      </c>
      <c r="F127" s="617" t="s">
        <v>26</v>
      </c>
      <c r="G127" s="624"/>
      <c r="H127" s="669">
        <v>44045</v>
      </c>
      <c r="I127" s="617" t="s">
        <v>4869</v>
      </c>
      <c r="J127" s="617" t="s">
        <v>26</v>
      </c>
      <c r="K127" s="624"/>
      <c r="O127" s="616"/>
      <c r="P127" s="616"/>
      <c r="Q127" s="616"/>
      <c r="AA127" s="624"/>
      <c r="AB127" s="663">
        <v>39013012000</v>
      </c>
      <c r="AC127" s="663" t="s">
        <v>5057</v>
      </c>
      <c r="AD127" s="663" t="s">
        <v>4927</v>
      </c>
      <c r="AE127" s="663" t="s">
        <v>4942</v>
      </c>
      <c r="AF127" s="663" t="s">
        <v>4946</v>
      </c>
    </row>
    <row r="128" spans="1:32" s="608" customFormat="1" x14ac:dyDescent="0.25">
      <c r="A128" s="624"/>
      <c r="B128" s="617">
        <v>39013011000</v>
      </c>
      <c r="C128" s="617" t="s">
        <v>1796</v>
      </c>
      <c r="D128" s="617" t="s">
        <v>31</v>
      </c>
      <c r="E128" s="617" t="s">
        <v>4849</v>
      </c>
      <c r="F128" s="617" t="s">
        <v>26</v>
      </c>
      <c r="G128" s="624"/>
      <c r="H128" s="669">
        <v>45174</v>
      </c>
      <c r="I128" s="617" t="s">
        <v>4867</v>
      </c>
      <c r="J128" s="617" t="s">
        <v>26</v>
      </c>
      <c r="K128" s="624"/>
      <c r="O128" s="616"/>
      <c r="P128" s="616"/>
      <c r="Q128" s="616"/>
      <c r="AA128" s="624"/>
      <c r="AB128" s="663">
        <v>39013012100</v>
      </c>
      <c r="AC128" s="663" t="s">
        <v>5058</v>
      </c>
      <c r="AD128" s="663" t="s">
        <v>4927</v>
      </c>
      <c r="AE128" s="663" t="s">
        <v>4942</v>
      </c>
      <c r="AF128" s="663" t="s">
        <v>4946</v>
      </c>
    </row>
    <row r="129" spans="1:32" s="608" customFormat="1" x14ac:dyDescent="0.25">
      <c r="A129" s="624"/>
      <c r="B129" s="617">
        <v>39013011200</v>
      </c>
      <c r="C129" s="617" t="s">
        <v>1797</v>
      </c>
      <c r="D129" s="617" t="s">
        <v>31</v>
      </c>
      <c r="E129" s="617" t="s">
        <v>4849</v>
      </c>
      <c r="F129" s="617" t="s">
        <v>26</v>
      </c>
      <c r="G129" s="624"/>
      <c r="H129" s="669">
        <v>45369</v>
      </c>
      <c r="I129" s="617" t="s">
        <v>4876</v>
      </c>
      <c r="J129" s="617" t="s">
        <v>26</v>
      </c>
      <c r="K129" s="624"/>
      <c r="O129" s="616"/>
      <c r="P129" s="616"/>
      <c r="Q129" s="616"/>
      <c r="AA129" s="624"/>
      <c r="AB129" s="663">
        <v>39013012200</v>
      </c>
      <c r="AC129" s="663" t="s">
        <v>5059</v>
      </c>
      <c r="AD129" s="663" t="s">
        <v>4938</v>
      </c>
      <c r="AE129" s="663" t="s">
        <v>4942</v>
      </c>
      <c r="AF129" s="663" t="s">
        <v>4929</v>
      </c>
    </row>
    <row r="130" spans="1:32" s="608" customFormat="1" x14ac:dyDescent="0.25">
      <c r="A130" s="624"/>
      <c r="B130" s="617">
        <v>39013011300</v>
      </c>
      <c r="C130" s="617" t="s">
        <v>1798</v>
      </c>
      <c r="D130" s="617" t="s">
        <v>31</v>
      </c>
      <c r="E130" s="617" t="s">
        <v>4849</v>
      </c>
      <c r="F130" s="617" t="s">
        <v>26</v>
      </c>
      <c r="G130" s="624"/>
      <c r="H130" s="669">
        <v>45324</v>
      </c>
      <c r="I130" s="617" t="s">
        <v>4876</v>
      </c>
      <c r="J130" s="617" t="s">
        <v>26</v>
      </c>
      <c r="K130" s="624"/>
      <c r="O130" s="616"/>
      <c r="P130" s="616"/>
      <c r="Q130" s="616"/>
      <c r="AA130" s="624"/>
      <c r="AB130" s="663">
        <v>39013012300</v>
      </c>
      <c r="AC130" s="663" t="s">
        <v>5060</v>
      </c>
      <c r="AD130" s="663" t="s">
        <v>4938</v>
      </c>
      <c r="AE130" s="663" t="s">
        <v>4942</v>
      </c>
      <c r="AF130" s="663" t="s">
        <v>4929</v>
      </c>
    </row>
    <row r="131" spans="1:32" s="608" customFormat="1" x14ac:dyDescent="0.25">
      <c r="A131" s="624"/>
      <c r="B131" s="617">
        <v>39013011400</v>
      </c>
      <c r="C131" s="617" t="s">
        <v>1799</v>
      </c>
      <c r="D131" s="617" t="s">
        <v>31</v>
      </c>
      <c r="E131" s="617" t="s">
        <v>4849</v>
      </c>
      <c r="F131" s="617" t="s">
        <v>26</v>
      </c>
      <c r="G131" s="624"/>
      <c r="H131" s="669">
        <v>45458</v>
      </c>
      <c r="I131" s="617" t="s">
        <v>4870</v>
      </c>
      <c r="J131" s="617" t="s">
        <v>26</v>
      </c>
      <c r="K131" s="624"/>
      <c r="O131" s="616"/>
      <c r="P131" s="616"/>
      <c r="Q131" s="616"/>
      <c r="AA131" s="624"/>
      <c r="AB131" s="663">
        <v>39013012400</v>
      </c>
      <c r="AC131" s="663" t="s">
        <v>5061</v>
      </c>
      <c r="AD131" s="663" t="s">
        <v>4938</v>
      </c>
      <c r="AE131" s="663" t="s">
        <v>4931</v>
      </c>
      <c r="AF131" s="663" t="s">
        <v>4929</v>
      </c>
    </row>
    <row r="132" spans="1:32" s="608" customFormat="1" x14ac:dyDescent="0.25">
      <c r="A132" s="624"/>
      <c r="B132" s="617">
        <v>39013011500</v>
      </c>
      <c r="C132" s="617" t="s">
        <v>1800</v>
      </c>
      <c r="D132" s="617" t="s">
        <v>31</v>
      </c>
      <c r="E132" s="617" t="s">
        <v>4849</v>
      </c>
      <c r="F132" s="617" t="s">
        <v>26</v>
      </c>
      <c r="G132" s="624"/>
      <c r="H132" s="669">
        <v>45416</v>
      </c>
      <c r="I132" s="617" t="s">
        <v>4870</v>
      </c>
      <c r="J132" s="617" t="s">
        <v>26</v>
      </c>
      <c r="K132" s="624"/>
      <c r="O132" s="616"/>
      <c r="P132" s="616"/>
      <c r="Q132" s="616"/>
      <c r="AA132" s="624"/>
      <c r="AB132" s="663">
        <v>39015951201</v>
      </c>
      <c r="AC132" s="663" t="s">
        <v>5062</v>
      </c>
      <c r="AD132" s="663" t="s">
        <v>4950</v>
      </c>
      <c r="AE132" s="663" t="s">
        <v>4939</v>
      </c>
      <c r="AF132" s="663" t="s">
        <v>4929</v>
      </c>
    </row>
    <row r="133" spans="1:32" s="608" customFormat="1" x14ac:dyDescent="0.25">
      <c r="A133" s="624"/>
      <c r="B133" s="617">
        <v>39013011600</v>
      </c>
      <c r="C133" s="617" t="s">
        <v>1801</v>
      </c>
      <c r="D133" s="617" t="s">
        <v>31</v>
      </c>
      <c r="E133" s="617" t="s">
        <v>4849</v>
      </c>
      <c r="F133" s="617" t="s">
        <v>24</v>
      </c>
      <c r="G133" s="624"/>
      <c r="H133" s="669">
        <v>43017</v>
      </c>
      <c r="I133" s="617" t="s">
        <v>1678</v>
      </c>
      <c r="J133" s="617" t="s">
        <v>26</v>
      </c>
      <c r="K133" s="624"/>
      <c r="O133" s="616"/>
      <c r="P133" s="616"/>
      <c r="Q133" s="616"/>
      <c r="AA133" s="624"/>
      <c r="AB133" s="663">
        <v>39015951202</v>
      </c>
      <c r="AC133" s="663" t="s">
        <v>5063</v>
      </c>
      <c r="AD133" s="663" t="s">
        <v>4950</v>
      </c>
      <c r="AE133" s="663" t="s">
        <v>4939</v>
      </c>
      <c r="AF133" s="663" t="s">
        <v>4929</v>
      </c>
    </row>
    <row r="134" spans="1:32" s="608" customFormat="1" x14ac:dyDescent="0.25">
      <c r="A134" s="624"/>
      <c r="B134" s="617">
        <v>39013011700</v>
      </c>
      <c r="C134" s="617" t="s">
        <v>1802</v>
      </c>
      <c r="D134" s="617" t="s">
        <v>31</v>
      </c>
      <c r="E134" s="617" t="s">
        <v>4849</v>
      </c>
      <c r="F134" s="617" t="s">
        <v>24</v>
      </c>
      <c r="G134" s="624"/>
      <c r="H134" s="669">
        <v>43617</v>
      </c>
      <c r="I134" s="617" t="s">
        <v>4872</v>
      </c>
      <c r="J134" s="617" t="s">
        <v>26</v>
      </c>
      <c r="K134" s="624"/>
      <c r="O134" s="616"/>
      <c r="P134" s="616"/>
      <c r="Q134" s="616"/>
      <c r="AA134" s="624"/>
      <c r="AB134" s="663">
        <v>39015951300</v>
      </c>
      <c r="AC134" s="663" t="s">
        <v>5064</v>
      </c>
      <c r="AD134" s="663" t="s">
        <v>4950</v>
      </c>
      <c r="AE134" s="663" t="s">
        <v>4931</v>
      </c>
      <c r="AF134" s="663" t="s">
        <v>4929</v>
      </c>
    </row>
    <row r="135" spans="1:32" s="608" customFormat="1" x14ac:dyDescent="0.25">
      <c r="A135" s="624"/>
      <c r="B135" s="617">
        <v>39013011900</v>
      </c>
      <c r="C135" s="617" t="s">
        <v>1803</v>
      </c>
      <c r="D135" s="617" t="s">
        <v>31</v>
      </c>
      <c r="E135" s="617" t="s">
        <v>4849</v>
      </c>
      <c r="F135" s="617" t="s">
        <v>26</v>
      </c>
      <c r="G135" s="624"/>
      <c r="H135" s="669">
        <v>43061</v>
      </c>
      <c r="I135" s="617" t="s">
        <v>4871</v>
      </c>
      <c r="J135" s="617" t="s">
        <v>26</v>
      </c>
      <c r="K135" s="624"/>
      <c r="O135" s="616"/>
      <c r="P135" s="616"/>
      <c r="Q135" s="616"/>
      <c r="AA135" s="624"/>
      <c r="AB135" s="663">
        <v>39015951400</v>
      </c>
      <c r="AC135" s="663" t="s">
        <v>5065</v>
      </c>
      <c r="AD135" s="663" t="s">
        <v>4927</v>
      </c>
      <c r="AE135" s="663" t="s">
        <v>4934</v>
      </c>
      <c r="AF135" s="663" t="s">
        <v>4929</v>
      </c>
    </row>
    <row r="136" spans="1:32" s="608" customFormat="1" x14ac:dyDescent="0.25">
      <c r="A136" s="624"/>
      <c r="B136" s="617">
        <v>39013012000</v>
      </c>
      <c r="C136" s="617" t="s">
        <v>1804</v>
      </c>
      <c r="D136" s="617" t="s">
        <v>31</v>
      </c>
      <c r="E136" s="617" t="s">
        <v>4849</v>
      </c>
      <c r="F136" s="617" t="s">
        <v>26</v>
      </c>
      <c r="G136" s="624"/>
      <c r="H136" s="669">
        <v>43450</v>
      </c>
      <c r="I136" s="617" t="s">
        <v>4872</v>
      </c>
      <c r="J136" s="617" t="s">
        <v>26</v>
      </c>
      <c r="K136" s="624"/>
      <c r="O136" s="616"/>
      <c r="P136" s="616"/>
      <c r="Q136" s="616"/>
      <c r="AA136" s="624"/>
      <c r="AB136" s="663">
        <v>39015951500</v>
      </c>
      <c r="AC136" s="663" t="s">
        <v>5066</v>
      </c>
      <c r="AD136" s="663" t="s">
        <v>4950</v>
      </c>
      <c r="AE136" s="663" t="s">
        <v>4942</v>
      </c>
      <c r="AF136" s="663" t="s">
        <v>4929</v>
      </c>
    </row>
    <row r="137" spans="1:32" s="608" customFormat="1" x14ac:dyDescent="0.25">
      <c r="A137" s="624"/>
      <c r="B137" s="617">
        <v>39013012100</v>
      </c>
      <c r="C137" s="617" t="s">
        <v>1805</v>
      </c>
      <c r="D137" s="617" t="s">
        <v>31</v>
      </c>
      <c r="E137" s="617" t="s">
        <v>4849</v>
      </c>
      <c r="F137" s="617" t="s">
        <v>24</v>
      </c>
      <c r="G137" s="624"/>
      <c r="H137" s="669">
        <v>43445</v>
      </c>
      <c r="I137" s="617" t="s">
        <v>4872</v>
      </c>
      <c r="J137" s="617" t="s">
        <v>26</v>
      </c>
      <c r="K137" s="624"/>
      <c r="O137" s="616"/>
      <c r="P137" s="616"/>
      <c r="Q137" s="616"/>
      <c r="AA137" s="624"/>
      <c r="AB137" s="663">
        <v>39015951600</v>
      </c>
      <c r="AC137" s="663" t="s">
        <v>5067</v>
      </c>
      <c r="AD137" s="663" t="s">
        <v>4927</v>
      </c>
      <c r="AE137" s="663" t="s">
        <v>4931</v>
      </c>
      <c r="AF137" s="663" t="s">
        <v>4929</v>
      </c>
    </row>
    <row r="138" spans="1:32" s="608" customFormat="1" x14ac:dyDescent="0.25">
      <c r="A138" s="624"/>
      <c r="B138" s="617">
        <v>39013012201</v>
      </c>
      <c r="C138" s="617" t="s">
        <v>1806</v>
      </c>
      <c r="D138" s="617" t="s">
        <v>31</v>
      </c>
      <c r="E138" s="617" t="s">
        <v>4849</v>
      </c>
      <c r="F138" s="617" t="s">
        <v>26</v>
      </c>
      <c r="G138" s="624"/>
      <c r="H138" s="669">
        <v>44221</v>
      </c>
      <c r="I138" s="617" t="s">
        <v>4868</v>
      </c>
      <c r="J138" s="617" t="s">
        <v>26</v>
      </c>
      <c r="K138" s="624"/>
      <c r="O138" s="616"/>
      <c r="P138" s="616"/>
      <c r="Q138" s="616"/>
      <c r="AA138" s="624"/>
      <c r="AB138" s="663">
        <v>39015951700</v>
      </c>
      <c r="AC138" s="663" t="s">
        <v>5068</v>
      </c>
      <c r="AD138" s="663" t="s">
        <v>4927</v>
      </c>
      <c r="AE138" s="663" t="s">
        <v>4934</v>
      </c>
      <c r="AF138" s="663" t="s">
        <v>4929</v>
      </c>
    </row>
    <row r="139" spans="1:32" s="608" customFormat="1" x14ac:dyDescent="0.25">
      <c r="A139" s="624"/>
      <c r="B139" s="617">
        <v>39013012202</v>
      </c>
      <c r="C139" s="617" t="s">
        <v>1807</v>
      </c>
      <c r="D139" s="617" t="s">
        <v>31</v>
      </c>
      <c r="E139" s="617" t="s">
        <v>4849</v>
      </c>
      <c r="F139" s="617" t="s">
        <v>26</v>
      </c>
      <c r="G139" s="624"/>
      <c r="H139" s="669">
        <v>44137</v>
      </c>
      <c r="I139" s="617" t="s">
        <v>4869</v>
      </c>
      <c r="J139" s="617" t="s">
        <v>26</v>
      </c>
      <c r="K139" s="624"/>
      <c r="O139" s="616"/>
      <c r="P139" s="616"/>
      <c r="Q139" s="616"/>
      <c r="AA139" s="624"/>
      <c r="AB139" s="663">
        <v>39015951800</v>
      </c>
      <c r="AC139" s="663" t="s">
        <v>5069</v>
      </c>
      <c r="AD139" s="663" t="s">
        <v>4927</v>
      </c>
      <c r="AE139" s="663" t="s">
        <v>4934</v>
      </c>
      <c r="AF139" s="663" t="s">
        <v>4929</v>
      </c>
    </row>
    <row r="140" spans="1:32" s="608" customFormat="1" x14ac:dyDescent="0.25">
      <c r="A140" s="624"/>
      <c r="B140" s="617">
        <v>39013012300</v>
      </c>
      <c r="C140" s="617" t="s">
        <v>1808</v>
      </c>
      <c r="D140" s="617" t="s">
        <v>31</v>
      </c>
      <c r="E140" s="617" t="s">
        <v>4849</v>
      </c>
      <c r="F140" s="617" t="s">
        <v>26</v>
      </c>
      <c r="G140" s="624"/>
      <c r="H140" s="669">
        <v>44114</v>
      </c>
      <c r="I140" s="617" t="s">
        <v>4869</v>
      </c>
      <c r="J140" s="617" t="s">
        <v>26</v>
      </c>
      <c r="K140" s="624"/>
      <c r="O140" s="616"/>
      <c r="P140" s="616"/>
      <c r="Q140" s="616"/>
      <c r="AA140" s="624"/>
      <c r="AB140" s="663">
        <v>39015951900</v>
      </c>
      <c r="AC140" s="663" t="s">
        <v>5070</v>
      </c>
      <c r="AD140" s="663" t="s">
        <v>4927</v>
      </c>
      <c r="AE140" s="663" t="s">
        <v>4934</v>
      </c>
      <c r="AF140" s="663" t="s">
        <v>4929</v>
      </c>
    </row>
    <row r="141" spans="1:32" s="608" customFormat="1" x14ac:dyDescent="0.25">
      <c r="A141" s="624"/>
      <c r="B141" s="617">
        <v>39013012400</v>
      </c>
      <c r="C141" s="617" t="s">
        <v>1809</v>
      </c>
      <c r="D141" s="617" t="s">
        <v>31</v>
      </c>
      <c r="E141" s="617" t="s">
        <v>4849</v>
      </c>
      <c r="F141" s="617" t="s">
        <v>26</v>
      </c>
      <c r="G141" s="624"/>
      <c r="H141" s="669">
        <v>41005</v>
      </c>
      <c r="I141" s="617" t="s">
        <v>4867</v>
      </c>
      <c r="J141" s="617" t="s">
        <v>26</v>
      </c>
      <c r="K141" s="624"/>
      <c r="O141" s="616"/>
      <c r="P141" s="616"/>
      <c r="Q141" s="616"/>
      <c r="AA141" s="624"/>
      <c r="AB141" s="663">
        <v>39017000100</v>
      </c>
      <c r="AC141" s="663" t="s">
        <v>5071</v>
      </c>
      <c r="AD141" s="663" t="s">
        <v>4941</v>
      </c>
      <c r="AE141" s="663" t="s">
        <v>4928</v>
      </c>
      <c r="AF141" s="663" t="s">
        <v>4962</v>
      </c>
    </row>
    <row r="142" spans="1:32" s="608" customFormat="1" x14ac:dyDescent="0.25">
      <c r="A142" s="624"/>
      <c r="B142" s="617">
        <v>39015951201</v>
      </c>
      <c r="C142" s="617" t="s">
        <v>1810</v>
      </c>
      <c r="D142" s="617" t="s">
        <v>32</v>
      </c>
      <c r="E142" s="617" t="s">
        <v>4850</v>
      </c>
      <c r="F142" s="617" t="s">
        <v>26</v>
      </c>
      <c r="G142" s="624"/>
      <c r="H142" s="669">
        <v>45342</v>
      </c>
      <c r="I142" s="617" t="s">
        <v>4870</v>
      </c>
      <c r="J142" s="617" t="s">
        <v>26</v>
      </c>
      <c r="K142" s="624"/>
      <c r="O142" s="616"/>
      <c r="P142" s="616"/>
      <c r="Q142" s="616"/>
      <c r="AA142" s="624"/>
      <c r="AB142" s="663">
        <v>39017000200</v>
      </c>
      <c r="AC142" s="663" t="s">
        <v>5072</v>
      </c>
      <c r="AD142" s="663" t="s">
        <v>4948</v>
      </c>
      <c r="AE142" s="663" t="s">
        <v>4934</v>
      </c>
      <c r="AF142" s="663" t="s">
        <v>4962</v>
      </c>
    </row>
    <row r="143" spans="1:32" s="608" customFormat="1" x14ac:dyDescent="0.25">
      <c r="A143" s="624"/>
      <c r="B143" s="617">
        <v>39015951202</v>
      </c>
      <c r="C143" s="617" t="s">
        <v>1811</v>
      </c>
      <c r="D143" s="617" t="s">
        <v>32</v>
      </c>
      <c r="E143" s="617" t="s">
        <v>4850</v>
      </c>
      <c r="F143" s="617" t="s">
        <v>26</v>
      </c>
      <c r="G143" s="624"/>
      <c r="H143" s="669">
        <v>45344</v>
      </c>
      <c r="I143" s="617" t="s">
        <v>4876</v>
      </c>
      <c r="J143" s="617" t="s">
        <v>26</v>
      </c>
      <c r="K143" s="624"/>
      <c r="O143" s="616"/>
      <c r="P143" s="616"/>
      <c r="Q143" s="616"/>
      <c r="AA143" s="624"/>
      <c r="AB143" s="663">
        <v>39017000300</v>
      </c>
      <c r="AC143" s="663" t="s">
        <v>5073</v>
      </c>
      <c r="AD143" s="663" t="s">
        <v>4927</v>
      </c>
      <c r="AE143" s="663" t="s">
        <v>4931</v>
      </c>
      <c r="AF143" s="663" t="s">
        <v>4962</v>
      </c>
    </row>
    <row r="144" spans="1:32" s="608" customFormat="1" x14ac:dyDescent="0.25">
      <c r="A144" s="624"/>
      <c r="B144" s="617">
        <v>39015951301</v>
      </c>
      <c r="C144" s="617" t="s">
        <v>1812</v>
      </c>
      <c r="D144" s="617" t="s">
        <v>32</v>
      </c>
      <c r="E144" s="617" t="s">
        <v>4850</v>
      </c>
      <c r="F144" s="617" t="s">
        <v>26</v>
      </c>
      <c r="G144" s="624"/>
      <c r="H144" s="669">
        <v>45176</v>
      </c>
      <c r="I144" s="617" t="s">
        <v>1674</v>
      </c>
      <c r="J144" s="617" t="s">
        <v>26</v>
      </c>
      <c r="K144" s="624"/>
      <c r="O144" s="616"/>
      <c r="P144" s="616"/>
      <c r="Q144" s="616"/>
      <c r="AA144" s="624"/>
      <c r="AB144" s="663">
        <v>39017000400</v>
      </c>
      <c r="AC144" s="663" t="s">
        <v>5074</v>
      </c>
      <c r="AD144" s="663" t="s">
        <v>4950</v>
      </c>
      <c r="AE144" s="663" t="s">
        <v>4939</v>
      </c>
      <c r="AF144" s="663" t="s">
        <v>4962</v>
      </c>
    </row>
    <row r="145" spans="1:32" s="608" customFormat="1" x14ac:dyDescent="0.25">
      <c r="A145" s="624"/>
      <c r="B145" s="617">
        <v>39015951302</v>
      </c>
      <c r="C145" s="617" t="s">
        <v>1813</v>
      </c>
      <c r="D145" s="617" t="s">
        <v>32</v>
      </c>
      <c r="E145" s="617" t="s">
        <v>4850</v>
      </c>
      <c r="F145" s="617" t="s">
        <v>26</v>
      </c>
      <c r="G145" s="624"/>
      <c r="H145" s="669">
        <v>45107</v>
      </c>
      <c r="I145" s="617" t="s">
        <v>1674</v>
      </c>
      <c r="J145" s="617" t="s">
        <v>26</v>
      </c>
      <c r="K145" s="624"/>
      <c r="O145" s="616"/>
      <c r="P145" s="616"/>
      <c r="Q145" s="616"/>
      <c r="AA145" s="624"/>
      <c r="AB145" s="663">
        <v>39017000500</v>
      </c>
      <c r="AC145" s="663" t="s">
        <v>5075</v>
      </c>
      <c r="AD145" s="663" t="s">
        <v>4948</v>
      </c>
      <c r="AE145" s="663" t="s">
        <v>4934</v>
      </c>
      <c r="AF145" s="663" t="s">
        <v>4962</v>
      </c>
    </row>
    <row r="146" spans="1:32" s="608" customFormat="1" x14ac:dyDescent="0.25">
      <c r="A146" s="624"/>
      <c r="B146" s="617">
        <v>39015951400</v>
      </c>
      <c r="C146" s="617" t="s">
        <v>1814</v>
      </c>
      <c r="D146" s="617" t="s">
        <v>32</v>
      </c>
      <c r="E146" s="617" t="s">
        <v>4850</v>
      </c>
      <c r="F146" s="617" t="s">
        <v>26</v>
      </c>
      <c r="G146" s="624"/>
      <c r="H146" s="669">
        <v>45854</v>
      </c>
      <c r="I146" s="617" t="s">
        <v>4875</v>
      </c>
      <c r="J146" s="617" t="s">
        <v>26</v>
      </c>
      <c r="K146" s="624"/>
      <c r="O146" s="616"/>
      <c r="P146" s="616"/>
      <c r="Q146" s="616"/>
      <c r="AA146" s="624"/>
      <c r="AB146" s="663">
        <v>39017000600</v>
      </c>
      <c r="AC146" s="663" t="s">
        <v>5076</v>
      </c>
      <c r="AD146" s="663" t="s">
        <v>4950</v>
      </c>
      <c r="AE146" s="663" t="s">
        <v>4934</v>
      </c>
      <c r="AF146" s="663" t="s">
        <v>4962</v>
      </c>
    </row>
    <row r="147" spans="1:32" s="608" customFormat="1" x14ac:dyDescent="0.25">
      <c r="A147" s="624"/>
      <c r="B147" s="617">
        <v>39015951500</v>
      </c>
      <c r="C147" s="617" t="s">
        <v>1815</v>
      </c>
      <c r="D147" s="617" t="s">
        <v>32</v>
      </c>
      <c r="E147" s="617" t="s">
        <v>4850</v>
      </c>
      <c r="F147" s="617" t="s">
        <v>26</v>
      </c>
      <c r="G147" s="624"/>
      <c r="H147" s="669">
        <v>43148</v>
      </c>
      <c r="I147" s="617" t="s">
        <v>1677</v>
      </c>
      <c r="J147" s="617" t="s">
        <v>26</v>
      </c>
      <c r="K147" s="624"/>
      <c r="O147" s="616"/>
      <c r="P147" s="616"/>
      <c r="Q147" s="616"/>
      <c r="AA147" s="624"/>
      <c r="AB147" s="663">
        <v>39017001001</v>
      </c>
      <c r="AC147" s="663" t="s">
        <v>5077</v>
      </c>
      <c r="AD147" s="663" t="s">
        <v>4950</v>
      </c>
      <c r="AE147" s="663" t="s">
        <v>4931</v>
      </c>
      <c r="AF147" s="663" t="s">
        <v>4946</v>
      </c>
    </row>
    <row r="148" spans="1:32" s="608" customFormat="1" x14ac:dyDescent="0.25">
      <c r="A148" s="624"/>
      <c r="B148" s="617">
        <v>39015951600</v>
      </c>
      <c r="C148" s="617" t="s">
        <v>1816</v>
      </c>
      <c r="D148" s="617" t="s">
        <v>32</v>
      </c>
      <c r="E148" s="617" t="s">
        <v>4850</v>
      </c>
      <c r="F148" s="617" t="s">
        <v>26</v>
      </c>
      <c r="G148" s="624"/>
      <c r="H148" s="669">
        <v>44685</v>
      </c>
      <c r="I148" s="617" t="s">
        <v>4874</v>
      </c>
      <c r="J148" s="617" t="s">
        <v>26</v>
      </c>
      <c r="K148" s="624"/>
      <c r="O148" s="616"/>
      <c r="P148" s="616"/>
      <c r="Q148" s="616"/>
      <c r="AA148" s="624"/>
      <c r="AB148" s="663">
        <v>39017001002</v>
      </c>
      <c r="AC148" s="663" t="s">
        <v>5078</v>
      </c>
      <c r="AD148" s="663" t="s">
        <v>4948</v>
      </c>
      <c r="AE148" s="663" t="s">
        <v>4939</v>
      </c>
      <c r="AF148" s="663" t="s">
        <v>4946</v>
      </c>
    </row>
    <row r="149" spans="1:32" s="608" customFormat="1" x14ac:dyDescent="0.25">
      <c r="A149" s="624"/>
      <c r="B149" s="617">
        <v>39015951700</v>
      </c>
      <c r="C149" s="617" t="s">
        <v>1817</v>
      </c>
      <c r="D149" s="617" t="s">
        <v>32</v>
      </c>
      <c r="E149" s="617" t="s">
        <v>4850</v>
      </c>
      <c r="F149" s="617" t="s">
        <v>26</v>
      </c>
      <c r="G149" s="624"/>
      <c r="H149" s="669">
        <v>45065</v>
      </c>
      <c r="I149" s="617" t="s">
        <v>4867</v>
      </c>
      <c r="J149" s="617" t="s">
        <v>26</v>
      </c>
      <c r="K149" s="624"/>
      <c r="O149" s="616"/>
      <c r="P149" s="616"/>
      <c r="Q149" s="616"/>
      <c r="AA149" s="624"/>
      <c r="AB149" s="663">
        <v>39017001100</v>
      </c>
      <c r="AC149" s="663" t="s">
        <v>5079</v>
      </c>
      <c r="AD149" s="663" t="s">
        <v>4948</v>
      </c>
      <c r="AE149" s="663" t="s">
        <v>4942</v>
      </c>
      <c r="AF149" s="663" t="s">
        <v>4962</v>
      </c>
    </row>
    <row r="150" spans="1:32" s="608" customFormat="1" x14ac:dyDescent="0.25">
      <c r="A150" s="624"/>
      <c r="B150" s="617">
        <v>39015951800</v>
      </c>
      <c r="C150" s="617" t="s">
        <v>1818</v>
      </c>
      <c r="D150" s="617" t="s">
        <v>32</v>
      </c>
      <c r="E150" s="617" t="s">
        <v>4850</v>
      </c>
      <c r="F150" s="617" t="s">
        <v>24</v>
      </c>
      <c r="G150" s="624"/>
      <c r="H150" s="669">
        <v>44308</v>
      </c>
      <c r="I150" s="617" t="s">
        <v>4868</v>
      </c>
      <c r="J150" s="617" t="s">
        <v>26</v>
      </c>
      <c r="K150" s="624"/>
      <c r="O150" s="616"/>
      <c r="P150" s="616"/>
      <c r="Q150" s="616"/>
      <c r="AA150" s="624"/>
      <c r="AB150" s="663">
        <v>39017001300</v>
      </c>
      <c r="AC150" s="663" t="s">
        <v>5080</v>
      </c>
      <c r="AD150" s="663" t="s">
        <v>4927</v>
      </c>
      <c r="AE150" s="663" t="s">
        <v>4928</v>
      </c>
      <c r="AF150" s="663" t="s">
        <v>4946</v>
      </c>
    </row>
    <row r="151" spans="1:32" s="608" customFormat="1" x14ac:dyDescent="0.25">
      <c r="A151" s="624"/>
      <c r="B151" s="617">
        <v>39015951900</v>
      </c>
      <c r="C151" s="617" t="s">
        <v>1819</v>
      </c>
      <c r="D151" s="617" t="s">
        <v>32</v>
      </c>
      <c r="E151" s="617" t="s">
        <v>4850</v>
      </c>
      <c r="F151" s="617" t="s">
        <v>26</v>
      </c>
      <c r="G151" s="624"/>
      <c r="H151" s="669">
        <v>44054</v>
      </c>
      <c r="I151" s="617" t="s">
        <v>4869</v>
      </c>
      <c r="J151" s="617" t="s">
        <v>26</v>
      </c>
      <c r="K151" s="624"/>
      <c r="O151" s="616"/>
      <c r="P151" s="616"/>
      <c r="Q151" s="616"/>
      <c r="AA151" s="624"/>
      <c r="AB151" s="663">
        <v>39017010101</v>
      </c>
      <c r="AC151" s="663" t="s">
        <v>5081</v>
      </c>
      <c r="AD151" s="663" t="s">
        <v>4938</v>
      </c>
      <c r="AE151" s="663" t="s">
        <v>4928</v>
      </c>
      <c r="AF151" s="663" t="s">
        <v>4983</v>
      </c>
    </row>
    <row r="152" spans="1:32" s="608" customFormat="1" x14ac:dyDescent="0.25">
      <c r="A152" s="624"/>
      <c r="B152" s="617">
        <v>39017000100</v>
      </c>
      <c r="C152" s="617" t="s">
        <v>1820</v>
      </c>
      <c r="D152" s="617" t="s">
        <v>33</v>
      </c>
      <c r="E152" s="617" t="s">
        <v>4850</v>
      </c>
      <c r="F152" s="617" t="s">
        <v>26</v>
      </c>
      <c r="G152" s="624"/>
      <c r="H152" s="669">
        <v>44065</v>
      </c>
      <c r="I152" s="617" t="s">
        <v>4869</v>
      </c>
      <c r="J152" s="617" t="s">
        <v>26</v>
      </c>
      <c r="K152" s="624"/>
      <c r="O152" s="616"/>
      <c r="P152" s="616"/>
      <c r="Q152" s="616"/>
      <c r="AA152" s="624"/>
      <c r="AB152" s="663">
        <v>39017010102</v>
      </c>
      <c r="AC152" s="663" t="s">
        <v>5082</v>
      </c>
      <c r="AD152" s="663" t="s">
        <v>4938</v>
      </c>
      <c r="AE152" s="663" t="s">
        <v>4939</v>
      </c>
      <c r="AF152" s="663" t="s">
        <v>4929</v>
      </c>
    </row>
    <row r="153" spans="1:32" s="608" customFormat="1" x14ac:dyDescent="0.25">
      <c r="A153" s="624"/>
      <c r="B153" s="617">
        <v>39017000200</v>
      </c>
      <c r="C153" s="617" t="s">
        <v>1821</v>
      </c>
      <c r="D153" s="617" t="s">
        <v>33</v>
      </c>
      <c r="E153" s="617" t="s">
        <v>4850</v>
      </c>
      <c r="F153" s="617" t="s">
        <v>24</v>
      </c>
      <c r="G153" s="624"/>
      <c r="H153" s="669">
        <v>43560</v>
      </c>
      <c r="I153" s="617" t="s">
        <v>4872</v>
      </c>
      <c r="J153" s="617" t="s">
        <v>26</v>
      </c>
      <c r="K153" s="624"/>
      <c r="O153" s="616"/>
      <c r="P153" s="616"/>
      <c r="Q153" s="616"/>
      <c r="AA153" s="624"/>
      <c r="AB153" s="663">
        <v>39017010103</v>
      </c>
      <c r="AC153" s="663" t="s">
        <v>5083</v>
      </c>
      <c r="AD153" s="663" t="s">
        <v>4938</v>
      </c>
      <c r="AE153" s="663" t="s">
        <v>4928</v>
      </c>
      <c r="AF153" s="663" t="s">
        <v>4929</v>
      </c>
    </row>
    <row r="154" spans="1:32" s="608" customFormat="1" x14ac:dyDescent="0.25">
      <c r="A154" s="624"/>
      <c r="B154" s="617">
        <v>39017000300</v>
      </c>
      <c r="C154" s="617" t="s">
        <v>1822</v>
      </c>
      <c r="D154" s="617" t="s">
        <v>33</v>
      </c>
      <c r="E154" s="617" t="s">
        <v>4850</v>
      </c>
      <c r="F154" s="617" t="s">
        <v>24</v>
      </c>
      <c r="G154" s="624"/>
      <c r="H154" s="669">
        <v>45387</v>
      </c>
      <c r="I154" s="617" t="s">
        <v>4870</v>
      </c>
      <c r="J154" s="617" t="s">
        <v>26</v>
      </c>
      <c r="K154" s="624"/>
      <c r="O154" s="616"/>
      <c r="P154" s="616"/>
      <c r="Q154" s="616"/>
      <c r="AA154" s="624"/>
      <c r="AB154" s="663">
        <v>39017010104</v>
      </c>
      <c r="AC154" s="663" t="s">
        <v>5084</v>
      </c>
      <c r="AD154" s="663" t="s">
        <v>4941</v>
      </c>
      <c r="AE154" s="663"/>
      <c r="AF154" s="663" t="s">
        <v>4929</v>
      </c>
    </row>
    <row r="155" spans="1:32" s="608" customFormat="1" x14ac:dyDescent="0.25">
      <c r="A155" s="624"/>
      <c r="B155" s="617">
        <v>39017000400</v>
      </c>
      <c r="C155" s="617" t="s">
        <v>1823</v>
      </c>
      <c r="D155" s="617" t="s">
        <v>33</v>
      </c>
      <c r="E155" s="617" t="s">
        <v>4850</v>
      </c>
      <c r="F155" s="617" t="s">
        <v>24</v>
      </c>
      <c r="G155" s="624"/>
      <c r="H155" s="669">
        <v>45068</v>
      </c>
      <c r="I155" s="617" t="s">
        <v>4870</v>
      </c>
      <c r="J155" s="617" t="s">
        <v>26</v>
      </c>
      <c r="K155" s="624"/>
      <c r="O155" s="616"/>
      <c r="P155" s="616"/>
      <c r="Q155" s="616"/>
      <c r="AA155" s="624"/>
      <c r="AB155" s="663">
        <v>39017010201</v>
      </c>
      <c r="AC155" s="663" t="s">
        <v>5085</v>
      </c>
      <c r="AD155" s="663" t="s">
        <v>4938</v>
      </c>
      <c r="AE155" s="663"/>
      <c r="AF155" s="663" t="s">
        <v>4929</v>
      </c>
    </row>
    <row r="156" spans="1:32" s="608" customFormat="1" x14ac:dyDescent="0.25">
      <c r="A156" s="624"/>
      <c r="B156" s="617">
        <v>39017000500</v>
      </c>
      <c r="C156" s="617" t="s">
        <v>1824</v>
      </c>
      <c r="D156" s="617" t="s">
        <v>33</v>
      </c>
      <c r="E156" s="617" t="s">
        <v>4850</v>
      </c>
      <c r="F156" s="617" t="s">
        <v>24</v>
      </c>
      <c r="G156" s="624"/>
      <c r="H156" s="669">
        <v>45504</v>
      </c>
      <c r="I156" s="617" t="s">
        <v>4876</v>
      </c>
      <c r="J156" s="617" t="s">
        <v>26</v>
      </c>
      <c r="K156" s="624"/>
      <c r="O156" s="616"/>
      <c r="P156" s="616"/>
      <c r="Q156" s="616"/>
      <c r="AA156" s="624"/>
      <c r="AB156" s="663">
        <v>39017010202</v>
      </c>
      <c r="AC156" s="663" t="s">
        <v>5086</v>
      </c>
      <c r="AD156" s="663" t="s">
        <v>4941</v>
      </c>
      <c r="AE156" s="663" t="s">
        <v>4934</v>
      </c>
      <c r="AF156" s="663" t="s">
        <v>4929</v>
      </c>
    </row>
    <row r="157" spans="1:32" s="608" customFormat="1" x14ac:dyDescent="0.25">
      <c r="A157" s="624"/>
      <c r="B157" s="617">
        <v>39017000600</v>
      </c>
      <c r="C157" s="617" t="s">
        <v>1825</v>
      </c>
      <c r="D157" s="617" t="s">
        <v>33</v>
      </c>
      <c r="E157" s="617" t="s">
        <v>4850</v>
      </c>
      <c r="F157" s="617" t="s">
        <v>24</v>
      </c>
      <c r="G157" s="624"/>
      <c r="H157" s="669">
        <v>43026</v>
      </c>
      <c r="I157" s="617" t="s">
        <v>4871</v>
      </c>
      <c r="J157" s="617" t="s">
        <v>26</v>
      </c>
      <c r="K157" s="624"/>
      <c r="O157" s="616"/>
      <c r="P157" s="616"/>
      <c r="Q157" s="616"/>
      <c r="AA157" s="624"/>
      <c r="AB157" s="663">
        <v>39017010203</v>
      </c>
      <c r="AC157" s="663" t="s">
        <v>5087</v>
      </c>
      <c r="AD157" s="663" t="s">
        <v>4948</v>
      </c>
      <c r="AE157" s="663" t="s">
        <v>4928</v>
      </c>
      <c r="AF157" s="663" t="s">
        <v>4929</v>
      </c>
    </row>
    <row r="158" spans="1:32" s="608" customFormat="1" x14ac:dyDescent="0.25">
      <c r="A158" s="624"/>
      <c r="B158" s="617">
        <v>39017001001</v>
      </c>
      <c r="C158" s="617" t="s">
        <v>1826</v>
      </c>
      <c r="D158" s="617" t="s">
        <v>33</v>
      </c>
      <c r="E158" s="617" t="s">
        <v>4850</v>
      </c>
      <c r="F158" s="617" t="s">
        <v>26</v>
      </c>
      <c r="G158" s="624"/>
      <c r="H158" s="669">
        <v>43023</v>
      </c>
      <c r="I158" s="617" t="s">
        <v>4871</v>
      </c>
      <c r="J158" s="617" t="s">
        <v>26</v>
      </c>
      <c r="K158" s="624"/>
      <c r="O158" s="616"/>
      <c r="P158" s="616"/>
      <c r="Q158" s="616"/>
      <c r="AA158" s="624"/>
      <c r="AB158" s="663">
        <v>39017010301</v>
      </c>
      <c r="AC158" s="663" t="s">
        <v>5088</v>
      </c>
      <c r="AD158" s="663" t="s">
        <v>4941</v>
      </c>
      <c r="AE158" s="663" t="s">
        <v>4931</v>
      </c>
      <c r="AF158" s="663" t="s">
        <v>4929</v>
      </c>
    </row>
    <row r="159" spans="1:32" s="608" customFormat="1" x14ac:dyDescent="0.25">
      <c r="A159" s="624"/>
      <c r="B159" s="617">
        <v>39017001002</v>
      </c>
      <c r="C159" s="617" t="s">
        <v>1827</v>
      </c>
      <c r="D159" s="617" t="s">
        <v>33</v>
      </c>
      <c r="E159" s="617" t="s">
        <v>4850</v>
      </c>
      <c r="F159" s="617" t="s">
        <v>26</v>
      </c>
      <c r="G159" s="624"/>
      <c r="H159" s="669">
        <v>45251</v>
      </c>
      <c r="I159" s="617" t="s">
        <v>4867</v>
      </c>
      <c r="J159" s="617" t="s">
        <v>26</v>
      </c>
      <c r="K159" s="624"/>
      <c r="O159" s="616"/>
      <c r="P159" s="616"/>
      <c r="Q159" s="616"/>
      <c r="AA159" s="624"/>
      <c r="AB159" s="663">
        <v>39017010302</v>
      </c>
      <c r="AC159" s="663" t="s">
        <v>5089</v>
      </c>
      <c r="AD159" s="663" t="s">
        <v>4941</v>
      </c>
      <c r="AE159" s="663" t="s">
        <v>4931</v>
      </c>
      <c r="AF159" s="663" t="s">
        <v>4929</v>
      </c>
    </row>
    <row r="160" spans="1:32" s="608" customFormat="1" x14ac:dyDescent="0.25">
      <c r="A160" s="624"/>
      <c r="B160" s="617">
        <v>39017001100</v>
      </c>
      <c r="C160" s="617" t="s">
        <v>1828</v>
      </c>
      <c r="D160" s="617" t="s">
        <v>33</v>
      </c>
      <c r="E160" s="617" t="s">
        <v>4850</v>
      </c>
      <c r="F160" s="617" t="s">
        <v>24</v>
      </c>
      <c r="G160" s="624"/>
      <c r="H160" s="669">
        <v>45219</v>
      </c>
      <c r="I160" s="617" t="s">
        <v>4867</v>
      </c>
      <c r="J160" s="617" t="s">
        <v>26</v>
      </c>
      <c r="K160" s="624"/>
      <c r="O160" s="616"/>
      <c r="P160" s="616"/>
      <c r="Q160" s="616"/>
      <c r="AA160" s="624"/>
      <c r="AB160" s="663">
        <v>39017010500</v>
      </c>
      <c r="AC160" s="663" t="s">
        <v>5090</v>
      </c>
      <c r="AD160" s="663" t="s">
        <v>4927</v>
      </c>
      <c r="AE160" s="663" t="s">
        <v>4942</v>
      </c>
      <c r="AF160" s="663" t="s">
        <v>4946</v>
      </c>
    </row>
    <row r="161" spans="1:32" s="608" customFormat="1" x14ac:dyDescent="0.25">
      <c r="A161" s="624"/>
      <c r="B161" s="617">
        <v>39017001300</v>
      </c>
      <c r="C161" s="617" t="s">
        <v>1829</v>
      </c>
      <c r="D161" s="617" t="s">
        <v>33</v>
      </c>
      <c r="E161" s="617" t="s">
        <v>4850</v>
      </c>
      <c r="F161" s="617" t="s">
        <v>26</v>
      </c>
      <c r="G161" s="624"/>
      <c r="H161" s="669">
        <v>45208</v>
      </c>
      <c r="I161" s="617" t="s">
        <v>4867</v>
      </c>
      <c r="J161" s="617" t="s">
        <v>26</v>
      </c>
      <c r="K161" s="624"/>
      <c r="O161" s="616"/>
      <c r="P161" s="616"/>
      <c r="Q161" s="616"/>
      <c r="AA161" s="624"/>
      <c r="AB161" s="663">
        <v>39017010600</v>
      </c>
      <c r="AC161" s="663" t="s">
        <v>5091</v>
      </c>
      <c r="AD161" s="663" t="s">
        <v>4950</v>
      </c>
      <c r="AE161" s="663" t="s">
        <v>4934</v>
      </c>
      <c r="AF161" s="663" t="s">
        <v>4929</v>
      </c>
    </row>
    <row r="162" spans="1:32" s="608" customFormat="1" x14ac:dyDescent="0.25">
      <c r="A162" s="624"/>
      <c r="B162" s="617">
        <v>39017010102</v>
      </c>
      <c r="C162" s="617" t="s">
        <v>1830</v>
      </c>
      <c r="D162" s="617" t="s">
        <v>33</v>
      </c>
      <c r="E162" s="617" t="s">
        <v>4850</v>
      </c>
      <c r="F162" s="617" t="s">
        <v>24</v>
      </c>
      <c r="G162" s="624"/>
      <c r="H162" s="669">
        <v>45209</v>
      </c>
      <c r="I162" s="617" t="s">
        <v>4867</v>
      </c>
      <c r="J162" s="617" t="s">
        <v>26</v>
      </c>
      <c r="K162" s="624"/>
      <c r="O162" s="616"/>
      <c r="P162" s="616"/>
      <c r="Q162" s="616"/>
      <c r="AA162" s="624"/>
      <c r="AB162" s="663">
        <v>39017010800</v>
      </c>
      <c r="AC162" s="663" t="s">
        <v>5092</v>
      </c>
      <c r="AD162" s="663" t="s">
        <v>4941</v>
      </c>
      <c r="AE162" s="663" t="s">
        <v>4942</v>
      </c>
      <c r="AF162" s="663" t="s">
        <v>4929</v>
      </c>
    </row>
    <row r="163" spans="1:32" s="608" customFormat="1" x14ac:dyDescent="0.25">
      <c r="A163" s="624"/>
      <c r="B163" s="617">
        <v>39017010103</v>
      </c>
      <c r="C163" s="617" t="s">
        <v>1831</v>
      </c>
      <c r="D163" s="617" t="s">
        <v>33</v>
      </c>
      <c r="E163" s="617" t="s">
        <v>4850</v>
      </c>
      <c r="F163" s="617" t="s">
        <v>24</v>
      </c>
      <c r="G163" s="624"/>
      <c r="H163" s="669">
        <v>44256</v>
      </c>
      <c r="I163" s="617" t="s">
        <v>4869</v>
      </c>
      <c r="J163" s="617" t="s">
        <v>26</v>
      </c>
      <c r="K163" s="624"/>
      <c r="O163" s="616"/>
      <c r="P163" s="616"/>
      <c r="Q163" s="616"/>
      <c r="AA163" s="624"/>
      <c r="AB163" s="663">
        <v>39017010901</v>
      </c>
      <c r="AC163" s="663" t="s">
        <v>5093</v>
      </c>
      <c r="AD163" s="663" t="s">
        <v>4948</v>
      </c>
      <c r="AE163" s="663" t="s">
        <v>4934</v>
      </c>
      <c r="AF163" s="663" t="s">
        <v>4946</v>
      </c>
    </row>
    <row r="164" spans="1:32" s="608" customFormat="1" x14ac:dyDescent="0.25">
      <c r="A164" s="624"/>
      <c r="B164" s="617">
        <v>39017010104</v>
      </c>
      <c r="C164" s="617" t="s">
        <v>1832</v>
      </c>
      <c r="D164" s="617" t="s">
        <v>33</v>
      </c>
      <c r="E164" s="617" t="s">
        <v>4850</v>
      </c>
      <c r="F164" s="617" t="s">
        <v>24</v>
      </c>
      <c r="G164" s="624"/>
      <c r="H164" s="669">
        <v>44060</v>
      </c>
      <c r="I164" s="617" t="s">
        <v>4869</v>
      </c>
      <c r="J164" s="617" t="s">
        <v>26</v>
      </c>
      <c r="K164" s="624"/>
      <c r="O164" s="616"/>
      <c r="P164" s="616"/>
      <c r="Q164" s="616"/>
      <c r="AA164" s="624"/>
      <c r="AB164" s="663">
        <v>39017010903</v>
      </c>
      <c r="AC164" s="663" t="s">
        <v>5094</v>
      </c>
      <c r="AD164" s="663" t="s">
        <v>4941</v>
      </c>
      <c r="AE164" s="663" t="s">
        <v>4942</v>
      </c>
      <c r="AF164" s="663" t="s">
        <v>4946</v>
      </c>
    </row>
    <row r="165" spans="1:32" s="608" customFormat="1" x14ac:dyDescent="0.25">
      <c r="A165" s="624"/>
      <c r="B165" s="617">
        <v>39017010105</v>
      </c>
      <c r="C165" s="617" t="s">
        <v>1833</v>
      </c>
      <c r="D165" s="617" t="s">
        <v>33</v>
      </c>
      <c r="E165" s="617" t="s">
        <v>4850</v>
      </c>
      <c r="F165" s="617" t="s">
        <v>24</v>
      </c>
      <c r="G165" s="624"/>
      <c r="H165" s="669">
        <v>44106</v>
      </c>
      <c r="I165" s="617" t="s">
        <v>4869</v>
      </c>
      <c r="J165" s="617" t="s">
        <v>26</v>
      </c>
      <c r="K165" s="624"/>
      <c r="O165" s="616"/>
      <c r="P165" s="616"/>
      <c r="Q165" s="616"/>
      <c r="AA165" s="624"/>
      <c r="AB165" s="663">
        <v>39017010904</v>
      </c>
      <c r="AC165" s="663" t="s">
        <v>5095</v>
      </c>
      <c r="AD165" s="663" t="s">
        <v>4948</v>
      </c>
      <c r="AE165" s="663" t="s">
        <v>4928</v>
      </c>
      <c r="AF165" s="663" t="s">
        <v>4946</v>
      </c>
    </row>
    <row r="166" spans="1:32" s="608" customFormat="1" x14ac:dyDescent="0.25">
      <c r="A166" s="624"/>
      <c r="B166" s="617">
        <v>39017010106</v>
      </c>
      <c r="C166" s="617" t="s">
        <v>1834</v>
      </c>
      <c r="D166" s="617" t="s">
        <v>33</v>
      </c>
      <c r="E166" s="617" t="s">
        <v>4850</v>
      </c>
      <c r="F166" s="617" t="s">
        <v>24</v>
      </c>
      <c r="G166" s="624"/>
      <c r="H166" s="669">
        <v>44136</v>
      </c>
      <c r="I166" s="617" t="s">
        <v>4869</v>
      </c>
      <c r="J166" s="617" t="s">
        <v>26</v>
      </c>
      <c r="K166" s="624"/>
      <c r="O166" s="616"/>
      <c r="P166" s="616"/>
      <c r="Q166" s="616"/>
      <c r="AA166" s="624"/>
      <c r="AB166" s="663">
        <v>39017010906</v>
      </c>
      <c r="AC166" s="663" t="s">
        <v>5096</v>
      </c>
      <c r="AD166" s="663" t="s">
        <v>4948</v>
      </c>
      <c r="AE166" s="663" t="s">
        <v>4934</v>
      </c>
      <c r="AF166" s="663" t="s">
        <v>4946</v>
      </c>
    </row>
    <row r="167" spans="1:32" s="608" customFormat="1" x14ac:dyDescent="0.25">
      <c r="A167" s="624"/>
      <c r="B167" s="617">
        <v>39017010201</v>
      </c>
      <c r="C167" s="617" t="s">
        <v>1835</v>
      </c>
      <c r="D167" s="617" t="s">
        <v>33</v>
      </c>
      <c r="E167" s="617" t="s">
        <v>4850</v>
      </c>
      <c r="F167" s="617" t="s">
        <v>26</v>
      </c>
      <c r="G167" s="624"/>
      <c r="H167" s="669">
        <v>43462</v>
      </c>
      <c r="I167" s="617" t="s">
        <v>4872</v>
      </c>
      <c r="J167" s="617" t="s">
        <v>26</v>
      </c>
      <c r="K167" s="624"/>
      <c r="O167" s="616"/>
      <c r="P167" s="616"/>
      <c r="Q167" s="616"/>
      <c r="AA167" s="624"/>
      <c r="AB167" s="663">
        <v>39017010907</v>
      </c>
      <c r="AC167" s="663" t="s">
        <v>5097</v>
      </c>
      <c r="AD167" s="663" t="s">
        <v>4948</v>
      </c>
      <c r="AE167" s="663" t="s">
        <v>4934</v>
      </c>
      <c r="AF167" s="663" t="s">
        <v>4946</v>
      </c>
    </row>
    <row r="168" spans="1:32" s="608" customFormat="1" x14ac:dyDescent="0.25">
      <c r="A168" s="624"/>
      <c r="B168" s="617">
        <v>39017010202</v>
      </c>
      <c r="C168" s="617" t="s">
        <v>1836</v>
      </c>
      <c r="D168" s="617" t="s">
        <v>33</v>
      </c>
      <c r="E168" s="617" t="s">
        <v>4850</v>
      </c>
      <c r="F168" s="617" t="s">
        <v>26</v>
      </c>
      <c r="G168" s="624"/>
      <c r="H168" s="669">
        <v>45459</v>
      </c>
      <c r="I168" s="617" t="s">
        <v>4870</v>
      </c>
      <c r="J168" s="617" t="s">
        <v>26</v>
      </c>
      <c r="K168" s="624"/>
      <c r="O168" s="616"/>
      <c r="P168" s="616"/>
      <c r="Q168" s="616"/>
      <c r="AA168" s="624"/>
      <c r="AB168" s="663">
        <v>39017010908</v>
      </c>
      <c r="AC168" s="663" t="s">
        <v>5098</v>
      </c>
      <c r="AD168" s="663" t="s">
        <v>4948</v>
      </c>
      <c r="AE168" s="663" t="s">
        <v>4934</v>
      </c>
      <c r="AF168" s="663" t="s">
        <v>4946</v>
      </c>
    </row>
    <row r="169" spans="1:32" s="608" customFormat="1" x14ac:dyDescent="0.25">
      <c r="A169" s="624"/>
      <c r="B169" s="617">
        <v>39017010203</v>
      </c>
      <c r="C169" s="617" t="s">
        <v>1837</v>
      </c>
      <c r="D169" s="617" t="s">
        <v>33</v>
      </c>
      <c r="E169" s="617" t="s">
        <v>4850</v>
      </c>
      <c r="F169" s="617" t="s">
        <v>26</v>
      </c>
      <c r="G169" s="624"/>
      <c r="H169" s="669">
        <v>45440</v>
      </c>
      <c r="I169" s="617" t="s">
        <v>4870</v>
      </c>
      <c r="J169" s="617" t="s">
        <v>26</v>
      </c>
      <c r="K169" s="624"/>
      <c r="O169" s="616"/>
      <c r="P169" s="616"/>
      <c r="Q169" s="616"/>
      <c r="AA169" s="624"/>
      <c r="AB169" s="663">
        <v>39017010909</v>
      </c>
      <c r="AC169" s="663" t="s">
        <v>5099</v>
      </c>
      <c r="AD169" s="663" t="s">
        <v>4950</v>
      </c>
      <c r="AE169" s="663" t="s">
        <v>4934</v>
      </c>
      <c r="AF169" s="663" t="s">
        <v>4946</v>
      </c>
    </row>
    <row r="170" spans="1:32" s="608" customFormat="1" x14ac:dyDescent="0.25">
      <c r="A170" s="624"/>
      <c r="B170" s="617">
        <v>39017010301</v>
      </c>
      <c r="C170" s="617" t="s">
        <v>1838</v>
      </c>
      <c r="D170" s="617" t="s">
        <v>33</v>
      </c>
      <c r="E170" s="617" t="s">
        <v>4850</v>
      </c>
      <c r="F170" s="617" t="s">
        <v>26</v>
      </c>
      <c r="G170" s="624"/>
      <c r="H170" s="669">
        <v>43201</v>
      </c>
      <c r="I170" s="617" t="s">
        <v>4871</v>
      </c>
      <c r="J170" s="617" t="s">
        <v>26</v>
      </c>
      <c r="K170" s="624"/>
      <c r="O170" s="616"/>
      <c r="P170" s="616"/>
      <c r="Q170" s="616"/>
      <c r="AA170" s="624"/>
      <c r="AB170" s="663">
        <v>39017010910</v>
      </c>
      <c r="AC170" s="663" t="s">
        <v>5100</v>
      </c>
      <c r="AD170" s="663" t="s">
        <v>4941</v>
      </c>
      <c r="AE170" s="663" t="s">
        <v>4934</v>
      </c>
      <c r="AF170" s="663" t="s">
        <v>4946</v>
      </c>
    </row>
    <row r="171" spans="1:32" s="608" customFormat="1" x14ac:dyDescent="0.25">
      <c r="A171" s="624"/>
      <c r="B171" s="617">
        <v>39017010302</v>
      </c>
      <c r="C171" s="617" t="s">
        <v>1839</v>
      </c>
      <c r="D171" s="617" t="s">
        <v>33</v>
      </c>
      <c r="E171" s="617" t="s">
        <v>4850</v>
      </c>
      <c r="F171" s="617" t="s">
        <v>26</v>
      </c>
      <c r="G171" s="624"/>
      <c r="H171" s="669">
        <v>45227</v>
      </c>
      <c r="I171" s="617" t="s">
        <v>4867</v>
      </c>
      <c r="J171" s="617" t="s">
        <v>26</v>
      </c>
      <c r="K171" s="624"/>
      <c r="O171" s="616"/>
      <c r="P171" s="616"/>
      <c r="Q171" s="616"/>
      <c r="AA171" s="624"/>
      <c r="AB171" s="663">
        <v>39017010911</v>
      </c>
      <c r="AC171" s="663" t="s">
        <v>5101</v>
      </c>
      <c r="AD171" s="663" t="s">
        <v>4948</v>
      </c>
      <c r="AE171" s="663" t="s">
        <v>4934</v>
      </c>
      <c r="AF171" s="663" t="s">
        <v>4946</v>
      </c>
    </row>
    <row r="172" spans="1:32" s="608" customFormat="1" x14ac:dyDescent="0.25">
      <c r="A172" s="624"/>
      <c r="B172" s="617">
        <v>39017010500</v>
      </c>
      <c r="C172" s="617" t="s">
        <v>1840</v>
      </c>
      <c r="D172" s="617" t="s">
        <v>33</v>
      </c>
      <c r="E172" s="617" t="s">
        <v>4850</v>
      </c>
      <c r="F172" s="617" t="s">
        <v>24</v>
      </c>
      <c r="G172" s="624"/>
      <c r="H172" s="669">
        <v>45067</v>
      </c>
      <c r="I172" s="617" t="s">
        <v>4867</v>
      </c>
      <c r="J172" s="617" t="s">
        <v>26</v>
      </c>
      <c r="K172" s="624"/>
      <c r="O172" s="616"/>
      <c r="P172" s="616"/>
      <c r="Q172" s="616"/>
      <c r="AA172" s="624"/>
      <c r="AB172" s="663">
        <v>39017011002</v>
      </c>
      <c r="AC172" s="663" t="s">
        <v>5102</v>
      </c>
      <c r="AD172" s="663" t="s">
        <v>4941</v>
      </c>
      <c r="AE172" s="663" t="s">
        <v>4928</v>
      </c>
      <c r="AF172" s="663" t="s">
        <v>4946</v>
      </c>
    </row>
    <row r="173" spans="1:32" s="608" customFormat="1" x14ac:dyDescent="0.25">
      <c r="A173" s="624"/>
      <c r="B173" s="617">
        <v>39017010600</v>
      </c>
      <c r="C173" s="617" t="s">
        <v>1841</v>
      </c>
      <c r="D173" s="617" t="s">
        <v>33</v>
      </c>
      <c r="E173" s="617" t="s">
        <v>4850</v>
      </c>
      <c r="F173" s="617" t="s">
        <v>26</v>
      </c>
      <c r="G173" s="624"/>
      <c r="H173" s="669">
        <v>47032</v>
      </c>
      <c r="I173" s="617" t="s">
        <v>4867</v>
      </c>
      <c r="J173" s="617" t="s">
        <v>26</v>
      </c>
      <c r="K173" s="624"/>
      <c r="O173" s="616"/>
      <c r="P173" s="616"/>
      <c r="Q173" s="616"/>
      <c r="AA173" s="624"/>
      <c r="AB173" s="663">
        <v>39017011003</v>
      </c>
      <c r="AC173" s="663" t="s">
        <v>5103</v>
      </c>
      <c r="AD173" s="663" t="s">
        <v>4941</v>
      </c>
      <c r="AE173" s="663" t="s">
        <v>4934</v>
      </c>
      <c r="AF173" s="663" t="s">
        <v>4946</v>
      </c>
    </row>
    <row r="174" spans="1:32" s="608" customFormat="1" x14ac:dyDescent="0.25">
      <c r="A174" s="624"/>
      <c r="B174" s="617">
        <v>39017010800</v>
      </c>
      <c r="C174" s="617" t="s">
        <v>1842</v>
      </c>
      <c r="D174" s="617" t="s">
        <v>33</v>
      </c>
      <c r="E174" s="617" t="s">
        <v>4850</v>
      </c>
      <c r="F174" s="617" t="s">
        <v>26</v>
      </c>
      <c r="G174" s="624"/>
      <c r="H174" s="669">
        <v>44491</v>
      </c>
      <c r="I174" s="617" t="s">
        <v>4873</v>
      </c>
      <c r="J174" s="617" t="s">
        <v>26</v>
      </c>
      <c r="K174" s="624"/>
      <c r="O174" s="616"/>
      <c r="P174" s="616"/>
      <c r="Q174" s="616"/>
      <c r="AA174" s="624"/>
      <c r="AB174" s="663">
        <v>39017011004</v>
      </c>
      <c r="AC174" s="663" t="s">
        <v>5104</v>
      </c>
      <c r="AD174" s="663" t="s">
        <v>4927</v>
      </c>
      <c r="AE174" s="663" t="s">
        <v>4934</v>
      </c>
      <c r="AF174" s="663" t="s">
        <v>4946</v>
      </c>
    </row>
    <row r="175" spans="1:32" s="608" customFormat="1" x14ac:dyDescent="0.25">
      <c r="A175" s="624"/>
      <c r="B175" s="617">
        <v>39017010901</v>
      </c>
      <c r="C175" s="617" t="s">
        <v>1843</v>
      </c>
      <c r="D175" s="617" t="s">
        <v>33</v>
      </c>
      <c r="E175" s="617" t="s">
        <v>4850</v>
      </c>
      <c r="F175" s="617" t="s">
        <v>26</v>
      </c>
      <c r="G175" s="624"/>
      <c r="H175" s="669">
        <v>45830</v>
      </c>
      <c r="I175" s="617" t="s">
        <v>4875</v>
      </c>
      <c r="J175" s="617" t="s">
        <v>26</v>
      </c>
      <c r="K175" s="624"/>
      <c r="O175" s="616"/>
      <c r="P175" s="616"/>
      <c r="Q175" s="616"/>
      <c r="AA175" s="624"/>
      <c r="AB175" s="663">
        <v>39017011109</v>
      </c>
      <c r="AC175" s="663" t="s">
        <v>5105</v>
      </c>
      <c r="AD175" s="663" t="s">
        <v>4938</v>
      </c>
      <c r="AE175" s="663" t="s">
        <v>4931</v>
      </c>
      <c r="AF175" s="663" t="s">
        <v>4946</v>
      </c>
    </row>
    <row r="176" spans="1:32" s="608" customFormat="1" x14ac:dyDescent="0.25">
      <c r="A176" s="624"/>
      <c r="B176" s="617">
        <v>39017010903</v>
      </c>
      <c r="C176" s="617" t="s">
        <v>1844</v>
      </c>
      <c r="D176" s="617" t="s">
        <v>33</v>
      </c>
      <c r="E176" s="617" t="s">
        <v>4850</v>
      </c>
      <c r="F176" s="617" t="s">
        <v>26</v>
      </c>
      <c r="G176" s="624"/>
      <c r="H176" s="669">
        <v>44133</v>
      </c>
      <c r="I176" s="617" t="s">
        <v>4869</v>
      </c>
      <c r="J176" s="617" t="s">
        <v>26</v>
      </c>
      <c r="K176" s="624"/>
      <c r="O176" s="616"/>
      <c r="P176" s="616"/>
      <c r="Q176" s="616"/>
      <c r="AA176" s="624"/>
      <c r="AB176" s="663">
        <v>39017011110</v>
      </c>
      <c r="AC176" s="663" t="s">
        <v>5106</v>
      </c>
      <c r="AD176" s="663" t="s">
        <v>4938</v>
      </c>
      <c r="AE176" s="663" t="s">
        <v>4931</v>
      </c>
      <c r="AF176" s="663" t="s">
        <v>4946</v>
      </c>
    </row>
    <row r="177" spans="1:32" s="608" customFormat="1" x14ac:dyDescent="0.25">
      <c r="A177" s="624"/>
      <c r="B177" s="617">
        <v>39017010904</v>
      </c>
      <c r="C177" s="617" t="s">
        <v>1845</v>
      </c>
      <c r="D177" s="617" t="s">
        <v>33</v>
      </c>
      <c r="E177" s="617" t="s">
        <v>4850</v>
      </c>
      <c r="F177" s="617" t="s">
        <v>26</v>
      </c>
      <c r="G177" s="624"/>
      <c r="H177" s="669">
        <v>44233</v>
      </c>
      <c r="I177" s="617" t="s">
        <v>4869</v>
      </c>
      <c r="J177" s="617" t="s">
        <v>26</v>
      </c>
      <c r="K177" s="624"/>
      <c r="O177" s="616"/>
      <c r="P177" s="616"/>
      <c r="Q177" s="616"/>
      <c r="AA177" s="624"/>
      <c r="AB177" s="663">
        <v>39017011111</v>
      </c>
      <c r="AC177" s="663" t="s">
        <v>5107</v>
      </c>
      <c r="AD177" s="663" t="s">
        <v>4938</v>
      </c>
      <c r="AE177" s="663" t="s">
        <v>4939</v>
      </c>
      <c r="AF177" s="663" t="s">
        <v>4946</v>
      </c>
    </row>
    <row r="178" spans="1:32" s="608" customFormat="1" x14ac:dyDescent="0.25">
      <c r="A178" s="624"/>
      <c r="B178" s="617">
        <v>39017010906</v>
      </c>
      <c r="C178" s="617" t="s">
        <v>1846</v>
      </c>
      <c r="D178" s="617" t="s">
        <v>33</v>
      </c>
      <c r="E178" s="617" t="s">
        <v>4850</v>
      </c>
      <c r="F178" s="617" t="s">
        <v>26</v>
      </c>
      <c r="G178" s="624"/>
      <c r="H178" s="669">
        <v>45764</v>
      </c>
      <c r="I178" s="617" t="s">
        <v>1675</v>
      </c>
      <c r="J178" s="617" t="s">
        <v>26</v>
      </c>
      <c r="K178" s="624"/>
      <c r="O178" s="616"/>
      <c r="P178" s="616"/>
      <c r="Q178" s="616"/>
      <c r="AA178" s="624"/>
      <c r="AB178" s="663">
        <v>39017011112</v>
      </c>
      <c r="AC178" s="663" t="s">
        <v>5108</v>
      </c>
      <c r="AD178" s="663" t="s">
        <v>4938</v>
      </c>
      <c r="AE178" s="663" t="s">
        <v>4934</v>
      </c>
      <c r="AF178" s="663" t="s">
        <v>4946</v>
      </c>
    </row>
    <row r="179" spans="1:32" s="608" customFormat="1" x14ac:dyDescent="0.25">
      <c r="A179" s="624"/>
      <c r="B179" s="617">
        <v>39017010907</v>
      </c>
      <c r="C179" s="617" t="s">
        <v>1847</v>
      </c>
      <c r="D179" s="617" t="s">
        <v>33</v>
      </c>
      <c r="E179" s="617" t="s">
        <v>4850</v>
      </c>
      <c r="F179" s="617" t="s">
        <v>26</v>
      </c>
      <c r="G179" s="624"/>
      <c r="H179" s="669">
        <v>43111</v>
      </c>
      <c r="I179" s="617" t="s">
        <v>1675</v>
      </c>
      <c r="J179" s="617" t="s">
        <v>26</v>
      </c>
      <c r="K179" s="624"/>
      <c r="O179" s="616"/>
      <c r="P179" s="616"/>
      <c r="Q179" s="616"/>
      <c r="AA179" s="624"/>
      <c r="AB179" s="663">
        <v>39017011116</v>
      </c>
      <c r="AC179" s="663" t="s">
        <v>5109</v>
      </c>
      <c r="AD179" s="663" t="s">
        <v>4938</v>
      </c>
      <c r="AE179" s="663" t="s">
        <v>4934</v>
      </c>
      <c r="AF179" s="663" t="s">
        <v>4946</v>
      </c>
    </row>
    <row r="180" spans="1:32" s="608" customFormat="1" x14ac:dyDescent="0.25">
      <c r="A180" s="624"/>
      <c r="B180" s="617">
        <v>39017010909</v>
      </c>
      <c r="C180" s="617" t="s">
        <v>1848</v>
      </c>
      <c r="D180" s="617" t="s">
        <v>33</v>
      </c>
      <c r="E180" s="617" t="s">
        <v>4850</v>
      </c>
      <c r="F180" s="617" t="s">
        <v>26</v>
      </c>
      <c r="G180" s="624"/>
      <c r="H180" s="669">
        <v>44260</v>
      </c>
      <c r="I180" s="617" t="s">
        <v>4874</v>
      </c>
      <c r="J180" s="617" t="s">
        <v>26</v>
      </c>
      <c r="K180" s="624"/>
      <c r="O180" s="616"/>
      <c r="P180" s="616"/>
      <c r="Q180" s="616"/>
      <c r="AA180" s="624"/>
      <c r="AB180" s="663">
        <v>39017011117</v>
      </c>
      <c r="AC180" s="663" t="s">
        <v>5110</v>
      </c>
      <c r="AD180" s="663" t="s">
        <v>4941</v>
      </c>
      <c r="AE180" s="663" t="s">
        <v>4931</v>
      </c>
      <c r="AF180" s="663" t="s">
        <v>4946</v>
      </c>
    </row>
    <row r="181" spans="1:32" s="608" customFormat="1" x14ac:dyDescent="0.25">
      <c r="A181" s="624"/>
      <c r="B181" s="617">
        <v>39017010910</v>
      </c>
      <c r="C181" s="617" t="s">
        <v>1849</v>
      </c>
      <c r="D181" s="617" t="s">
        <v>33</v>
      </c>
      <c r="E181" s="617" t="s">
        <v>4850</v>
      </c>
      <c r="F181" s="617" t="s">
        <v>26</v>
      </c>
      <c r="G181" s="624"/>
      <c r="H181" s="669">
        <v>43466</v>
      </c>
      <c r="I181" s="617" t="s">
        <v>4872</v>
      </c>
      <c r="J181" s="617" t="s">
        <v>26</v>
      </c>
      <c r="K181" s="624"/>
      <c r="O181" s="616"/>
      <c r="P181" s="616"/>
      <c r="Q181" s="616"/>
      <c r="AA181" s="624"/>
      <c r="AB181" s="663">
        <v>39017011118</v>
      </c>
      <c r="AC181" s="663" t="s">
        <v>5111</v>
      </c>
      <c r="AD181" s="663" t="s">
        <v>4938</v>
      </c>
      <c r="AE181" s="663" t="s">
        <v>4939</v>
      </c>
      <c r="AF181" s="663" t="s">
        <v>4946</v>
      </c>
    </row>
    <row r="182" spans="1:32" s="608" customFormat="1" x14ac:dyDescent="0.25">
      <c r="A182" s="624"/>
      <c r="B182" s="617">
        <v>39017010911</v>
      </c>
      <c r="C182" s="617" t="s">
        <v>1850</v>
      </c>
      <c r="D182" s="617" t="s">
        <v>33</v>
      </c>
      <c r="E182" s="617" t="s">
        <v>4850</v>
      </c>
      <c r="F182" s="617" t="s">
        <v>26</v>
      </c>
      <c r="G182" s="624"/>
      <c r="H182" s="669">
        <v>43406</v>
      </c>
      <c r="I182" s="617" t="s">
        <v>4872</v>
      </c>
      <c r="J182" s="617" t="s">
        <v>26</v>
      </c>
      <c r="K182" s="624"/>
      <c r="O182" s="616"/>
      <c r="P182" s="616"/>
      <c r="Q182" s="616"/>
      <c r="AA182" s="624"/>
      <c r="AB182" s="663">
        <v>39017011120</v>
      </c>
      <c r="AC182" s="663" t="s">
        <v>5112</v>
      </c>
      <c r="AD182" s="663" t="s">
        <v>4941</v>
      </c>
      <c r="AE182" s="663" t="s">
        <v>4934</v>
      </c>
      <c r="AF182" s="663" t="s">
        <v>4946</v>
      </c>
    </row>
    <row r="183" spans="1:32" s="608" customFormat="1" x14ac:dyDescent="0.25">
      <c r="A183" s="624"/>
      <c r="B183" s="617">
        <v>39017010912</v>
      </c>
      <c r="C183" s="617" t="s">
        <v>1851</v>
      </c>
      <c r="D183" s="617" t="s">
        <v>33</v>
      </c>
      <c r="E183" s="617" t="s">
        <v>4850</v>
      </c>
      <c r="F183" s="617" t="s">
        <v>26</v>
      </c>
      <c r="G183" s="624"/>
      <c r="H183" s="669">
        <v>43437</v>
      </c>
      <c r="I183" s="617" t="s">
        <v>4872</v>
      </c>
      <c r="J183" s="617" t="s">
        <v>26</v>
      </c>
      <c r="K183" s="624"/>
      <c r="O183" s="616"/>
      <c r="P183" s="616"/>
      <c r="Q183" s="616"/>
      <c r="AA183" s="624"/>
      <c r="AB183" s="663">
        <v>39017011121</v>
      </c>
      <c r="AC183" s="663" t="s">
        <v>5113</v>
      </c>
      <c r="AD183" s="663" t="s">
        <v>4938</v>
      </c>
      <c r="AE183" s="663" t="s">
        <v>4942</v>
      </c>
      <c r="AF183" s="663" t="s">
        <v>4946</v>
      </c>
    </row>
    <row r="184" spans="1:32" s="608" customFormat="1" x14ac:dyDescent="0.25">
      <c r="A184" s="624"/>
      <c r="B184" s="617">
        <v>39017010913</v>
      </c>
      <c r="C184" s="617" t="s">
        <v>1852</v>
      </c>
      <c r="D184" s="617" t="s">
        <v>33</v>
      </c>
      <c r="E184" s="617" t="s">
        <v>4850</v>
      </c>
      <c r="F184" s="617" t="s">
        <v>26</v>
      </c>
      <c r="G184" s="624"/>
      <c r="H184" s="669">
        <v>43110</v>
      </c>
      <c r="I184" s="617" t="s">
        <v>4871</v>
      </c>
      <c r="J184" s="617" t="s">
        <v>26</v>
      </c>
      <c r="K184" s="624"/>
      <c r="O184" s="616"/>
      <c r="P184" s="616"/>
      <c r="Q184" s="616"/>
      <c r="AA184" s="624"/>
      <c r="AB184" s="663">
        <v>39017011122</v>
      </c>
      <c r="AC184" s="663" t="s">
        <v>5114</v>
      </c>
      <c r="AD184" s="663" t="s">
        <v>4941</v>
      </c>
      <c r="AE184" s="663" t="s">
        <v>4928</v>
      </c>
      <c r="AF184" s="663" t="s">
        <v>4946</v>
      </c>
    </row>
    <row r="185" spans="1:32" s="608" customFormat="1" x14ac:dyDescent="0.25">
      <c r="A185" s="624"/>
      <c r="B185" s="617">
        <v>39017011003</v>
      </c>
      <c r="C185" s="617" t="s">
        <v>1853</v>
      </c>
      <c r="D185" s="617" t="s">
        <v>33</v>
      </c>
      <c r="E185" s="617" t="s">
        <v>4850</v>
      </c>
      <c r="F185" s="617" t="s">
        <v>26</v>
      </c>
      <c r="G185" s="624"/>
      <c r="H185" s="669">
        <v>43004</v>
      </c>
      <c r="I185" s="617" t="s">
        <v>4871</v>
      </c>
      <c r="J185" s="617" t="s">
        <v>26</v>
      </c>
      <c r="K185" s="624"/>
      <c r="O185" s="616"/>
      <c r="P185" s="616"/>
      <c r="Q185" s="616"/>
      <c r="AA185" s="624"/>
      <c r="AB185" s="663">
        <v>39017011123</v>
      </c>
      <c r="AC185" s="663" t="s">
        <v>5115</v>
      </c>
      <c r="AD185" s="663" t="s">
        <v>4950</v>
      </c>
      <c r="AE185" s="663" t="s">
        <v>4942</v>
      </c>
      <c r="AF185" s="663" t="s">
        <v>4946</v>
      </c>
    </row>
    <row r="186" spans="1:32" s="608" customFormat="1" x14ac:dyDescent="0.25">
      <c r="A186" s="624"/>
      <c r="B186" s="617">
        <v>39017011004</v>
      </c>
      <c r="C186" s="617" t="s">
        <v>1854</v>
      </c>
      <c r="D186" s="617" t="s">
        <v>33</v>
      </c>
      <c r="E186" s="617" t="s">
        <v>4850</v>
      </c>
      <c r="F186" s="617" t="s">
        <v>26</v>
      </c>
      <c r="G186" s="624"/>
      <c r="H186" s="669">
        <v>43126</v>
      </c>
      <c r="I186" s="617" t="s">
        <v>4871</v>
      </c>
      <c r="J186" s="617" t="s">
        <v>26</v>
      </c>
      <c r="K186" s="624"/>
      <c r="O186" s="616"/>
      <c r="P186" s="616"/>
      <c r="Q186" s="616"/>
      <c r="AA186" s="624"/>
      <c r="AB186" s="663">
        <v>39017011125</v>
      </c>
      <c r="AC186" s="663" t="s">
        <v>5116</v>
      </c>
      <c r="AD186" s="663" t="s">
        <v>4938</v>
      </c>
      <c r="AE186" s="663" t="s">
        <v>4931</v>
      </c>
      <c r="AF186" s="663" t="s">
        <v>4946</v>
      </c>
    </row>
    <row r="187" spans="1:32" s="608" customFormat="1" x14ac:dyDescent="0.25">
      <c r="A187" s="624"/>
      <c r="B187" s="617">
        <v>39017011005</v>
      </c>
      <c r="C187" s="617" t="s">
        <v>1855</v>
      </c>
      <c r="D187" s="617" t="s">
        <v>33</v>
      </c>
      <c r="E187" s="617" t="s">
        <v>4850</v>
      </c>
      <c r="F187" s="617" t="s">
        <v>26</v>
      </c>
      <c r="G187" s="624"/>
      <c r="H187" s="669">
        <v>45240</v>
      </c>
      <c r="I187" s="617" t="s">
        <v>4867</v>
      </c>
      <c r="J187" s="617" t="s">
        <v>26</v>
      </c>
      <c r="K187" s="624"/>
      <c r="O187" s="616"/>
      <c r="P187" s="616"/>
      <c r="Q187" s="616"/>
      <c r="AA187" s="624"/>
      <c r="AB187" s="663">
        <v>39017011126</v>
      </c>
      <c r="AC187" s="663" t="s">
        <v>5117</v>
      </c>
      <c r="AD187" s="663" t="s">
        <v>4941</v>
      </c>
      <c r="AE187" s="663" t="s">
        <v>4939</v>
      </c>
      <c r="AF187" s="663" t="s">
        <v>4946</v>
      </c>
    </row>
    <row r="188" spans="1:32" s="608" customFormat="1" x14ac:dyDescent="0.25">
      <c r="A188" s="624"/>
      <c r="B188" s="617">
        <v>39017011006</v>
      </c>
      <c r="C188" s="617" t="s">
        <v>1856</v>
      </c>
      <c r="D188" s="617" t="s">
        <v>33</v>
      </c>
      <c r="E188" s="617" t="s">
        <v>4850</v>
      </c>
      <c r="F188" s="617" t="s">
        <v>26</v>
      </c>
      <c r="G188" s="624"/>
      <c r="H188" s="669">
        <v>45241</v>
      </c>
      <c r="I188" s="617" t="s">
        <v>4867</v>
      </c>
      <c r="J188" s="617" t="s">
        <v>26</v>
      </c>
      <c r="K188" s="624"/>
      <c r="O188" s="616"/>
      <c r="P188" s="616"/>
      <c r="Q188" s="616"/>
      <c r="AA188" s="624"/>
      <c r="AB188" s="663">
        <v>39017011127</v>
      </c>
      <c r="AC188" s="663" t="s">
        <v>5118</v>
      </c>
      <c r="AD188" s="663" t="s">
        <v>4938</v>
      </c>
      <c r="AE188" s="663" t="s">
        <v>4942</v>
      </c>
      <c r="AF188" s="663" t="s">
        <v>4946</v>
      </c>
    </row>
    <row r="189" spans="1:32" s="608" customFormat="1" x14ac:dyDescent="0.25">
      <c r="A189" s="624"/>
      <c r="B189" s="617">
        <v>39017011109</v>
      </c>
      <c r="C189" s="617" t="s">
        <v>1857</v>
      </c>
      <c r="D189" s="617" t="s">
        <v>33</v>
      </c>
      <c r="E189" s="617" t="s">
        <v>4850</v>
      </c>
      <c r="F189" s="617" t="s">
        <v>26</v>
      </c>
      <c r="G189" s="624"/>
      <c r="H189" s="669">
        <v>44212</v>
      </c>
      <c r="I189" s="617" t="s">
        <v>4869</v>
      </c>
      <c r="J189" s="617" t="s">
        <v>26</v>
      </c>
      <c r="K189" s="624"/>
      <c r="O189" s="616"/>
      <c r="P189" s="616"/>
      <c r="Q189" s="616"/>
      <c r="AA189" s="624"/>
      <c r="AB189" s="663">
        <v>39017011128</v>
      </c>
      <c r="AC189" s="663" t="s">
        <v>5119</v>
      </c>
      <c r="AD189" s="663" t="s">
        <v>4938</v>
      </c>
      <c r="AE189" s="663" t="s">
        <v>4934</v>
      </c>
      <c r="AF189" s="663" t="s">
        <v>4946</v>
      </c>
    </row>
    <row r="190" spans="1:32" s="608" customFormat="1" x14ac:dyDescent="0.25">
      <c r="A190" s="624"/>
      <c r="B190" s="617">
        <v>39017011110</v>
      </c>
      <c r="C190" s="617" t="s">
        <v>1858</v>
      </c>
      <c r="D190" s="617" t="s">
        <v>33</v>
      </c>
      <c r="E190" s="617" t="s">
        <v>4850</v>
      </c>
      <c r="F190" s="617" t="s">
        <v>26</v>
      </c>
      <c r="G190" s="624"/>
      <c r="H190" s="669">
        <v>44215</v>
      </c>
      <c r="I190" s="617" t="s">
        <v>4869</v>
      </c>
      <c r="J190" s="617" t="s">
        <v>26</v>
      </c>
      <c r="K190" s="624"/>
      <c r="O190" s="616"/>
      <c r="P190" s="616"/>
      <c r="Q190" s="616"/>
      <c r="AA190" s="624"/>
      <c r="AB190" s="663">
        <v>39017011129</v>
      </c>
      <c r="AC190" s="663" t="s">
        <v>5120</v>
      </c>
      <c r="AD190" s="663" t="s">
        <v>4941</v>
      </c>
      <c r="AE190" s="663" t="s">
        <v>4942</v>
      </c>
      <c r="AF190" s="663" t="s">
        <v>4946</v>
      </c>
    </row>
    <row r="191" spans="1:32" s="608" customFormat="1" x14ac:dyDescent="0.25">
      <c r="A191" s="624"/>
      <c r="B191" s="617">
        <v>39017011111</v>
      </c>
      <c r="C191" s="617" t="s">
        <v>1859</v>
      </c>
      <c r="D191" s="617" t="s">
        <v>33</v>
      </c>
      <c r="E191" s="617" t="s">
        <v>4850</v>
      </c>
      <c r="F191" s="617" t="s">
        <v>26</v>
      </c>
      <c r="G191" s="624"/>
      <c r="H191" s="669">
        <v>45503</v>
      </c>
      <c r="I191" s="617" t="s">
        <v>4876</v>
      </c>
      <c r="J191" s="617" t="s">
        <v>26</v>
      </c>
      <c r="K191" s="624"/>
      <c r="O191" s="616"/>
      <c r="P191" s="616"/>
      <c r="Q191" s="616"/>
      <c r="AA191" s="624"/>
      <c r="AB191" s="663">
        <v>39017011130</v>
      </c>
      <c r="AC191" s="663" t="s">
        <v>5121</v>
      </c>
      <c r="AD191" s="663" t="s">
        <v>4941</v>
      </c>
      <c r="AE191" s="663" t="s">
        <v>4934</v>
      </c>
      <c r="AF191" s="663" t="s">
        <v>4946</v>
      </c>
    </row>
    <row r="192" spans="1:32" s="608" customFormat="1" x14ac:dyDescent="0.25">
      <c r="A192" s="624"/>
      <c r="B192" s="617">
        <v>39017011112</v>
      </c>
      <c r="C192" s="617" t="s">
        <v>1860</v>
      </c>
      <c r="D192" s="617" t="s">
        <v>33</v>
      </c>
      <c r="E192" s="617" t="s">
        <v>4850</v>
      </c>
      <c r="F192" s="617" t="s">
        <v>26</v>
      </c>
      <c r="G192" s="624"/>
      <c r="H192" s="669">
        <v>45171</v>
      </c>
      <c r="I192" s="617" t="s">
        <v>1674</v>
      </c>
      <c r="J192" s="617" t="s">
        <v>26</v>
      </c>
      <c r="K192" s="624"/>
      <c r="O192" s="616"/>
      <c r="P192" s="616"/>
      <c r="Q192" s="616"/>
      <c r="AA192" s="624"/>
      <c r="AB192" s="663">
        <v>39017011131</v>
      </c>
      <c r="AC192" s="663" t="s">
        <v>5122</v>
      </c>
      <c r="AD192" s="663" t="s">
        <v>4938</v>
      </c>
      <c r="AE192" s="663" t="s">
        <v>4928</v>
      </c>
      <c r="AF192" s="663" t="s">
        <v>4946</v>
      </c>
    </row>
    <row r="193" spans="1:32" s="608" customFormat="1" x14ac:dyDescent="0.25">
      <c r="A193" s="624"/>
      <c r="B193" s="617">
        <v>39017011118</v>
      </c>
      <c r="C193" s="617" t="s">
        <v>1861</v>
      </c>
      <c r="D193" s="617" t="s">
        <v>33</v>
      </c>
      <c r="E193" s="617" t="s">
        <v>4850</v>
      </c>
      <c r="F193" s="617" t="s">
        <v>26</v>
      </c>
      <c r="G193" s="624"/>
      <c r="H193" s="669">
        <v>44470</v>
      </c>
      <c r="I193" s="617" t="s">
        <v>4873</v>
      </c>
      <c r="J193" s="617" t="s">
        <v>26</v>
      </c>
      <c r="K193" s="624"/>
      <c r="O193" s="616"/>
      <c r="P193" s="616"/>
      <c r="Q193" s="616"/>
      <c r="AA193" s="624"/>
      <c r="AB193" s="663">
        <v>39017011200</v>
      </c>
      <c r="AC193" s="663" t="s">
        <v>5123</v>
      </c>
      <c r="AD193" s="663" t="s">
        <v>4941</v>
      </c>
      <c r="AE193" s="663" t="s">
        <v>4939</v>
      </c>
      <c r="AF193" s="663" t="s">
        <v>4946</v>
      </c>
    </row>
    <row r="194" spans="1:32" s="608" customFormat="1" x14ac:dyDescent="0.25">
      <c r="A194" s="624"/>
      <c r="B194" s="617">
        <v>39017011120</v>
      </c>
      <c r="C194" s="617" t="s">
        <v>1862</v>
      </c>
      <c r="D194" s="617" t="s">
        <v>33</v>
      </c>
      <c r="E194" s="617" t="s">
        <v>4850</v>
      </c>
      <c r="F194" s="617" t="s">
        <v>26</v>
      </c>
      <c r="G194" s="624"/>
      <c r="H194" s="669">
        <v>44878</v>
      </c>
      <c r="I194" s="617" t="s">
        <v>4877</v>
      </c>
      <c r="J194" s="617" t="s">
        <v>26</v>
      </c>
      <c r="K194" s="624"/>
      <c r="O194" s="616"/>
      <c r="P194" s="616"/>
      <c r="Q194" s="616"/>
      <c r="AA194" s="624"/>
      <c r="AB194" s="663">
        <v>39017011300</v>
      </c>
      <c r="AC194" s="663" t="s">
        <v>5124</v>
      </c>
      <c r="AD194" s="663" t="s">
        <v>4941</v>
      </c>
      <c r="AE194" s="663" t="s">
        <v>4939</v>
      </c>
      <c r="AF194" s="663" t="s">
        <v>4946</v>
      </c>
    </row>
    <row r="195" spans="1:32" s="608" customFormat="1" x14ac:dyDescent="0.25">
      <c r="A195" s="624"/>
      <c r="B195" s="617">
        <v>39017011122</v>
      </c>
      <c r="C195" s="617" t="s">
        <v>1863</v>
      </c>
      <c r="D195" s="617" t="s">
        <v>33</v>
      </c>
      <c r="E195" s="617" t="s">
        <v>4850</v>
      </c>
      <c r="F195" s="617" t="s">
        <v>26</v>
      </c>
      <c r="G195" s="624"/>
      <c r="H195" s="669">
        <v>45168</v>
      </c>
      <c r="I195" s="617" t="s">
        <v>1674</v>
      </c>
      <c r="J195" s="617" t="s">
        <v>26</v>
      </c>
      <c r="K195" s="624"/>
      <c r="O195" s="616"/>
      <c r="P195" s="616"/>
      <c r="Q195" s="616"/>
      <c r="AA195" s="624"/>
      <c r="AB195" s="663">
        <v>39017011800</v>
      </c>
      <c r="AC195" s="663" t="s">
        <v>5125</v>
      </c>
      <c r="AD195" s="663" t="s">
        <v>4948</v>
      </c>
      <c r="AE195" s="663" t="s">
        <v>4939</v>
      </c>
      <c r="AF195" s="663" t="s">
        <v>4946</v>
      </c>
    </row>
    <row r="196" spans="1:32" s="608" customFormat="1" x14ac:dyDescent="0.25">
      <c r="A196" s="624"/>
      <c r="B196" s="617">
        <v>39017011123</v>
      </c>
      <c r="C196" s="617" t="s">
        <v>1864</v>
      </c>
      <c r="D196" s="617" t="s">
        <v>33</v>
      </c>
      <c r="E196" s="617" t="s">
        <v>4850</v>
      </c>
      <c r="F196" s="617" t="s">
        <v>24</v>
      </c>
      <c r="G196" s="624"/>
      <c r="H196" s="669">
        <v>44281</v>
      </c>
      <c r="I196" s="617" t="s">
        <v>4868</v>
      </c>
      <c r="J196" s="617" t="s">
        <v>26</v>
      </c>
      <c r="K196" s="624"/>
      <c r="O196" s="616"/>
      <c r="P196" s="616"/>
      <c r="Q196" s="616"/>
      <c r="AA196" s="624"/>
      <c r="AB196" s="663">
        <v>39017012100</v>
      </c>
      <c r="AC196" s="663" t="s">
        <v>5126</v>
      </c>
      <c r="AD196" s="663" t="s">
        <v>4948</v>
      </c>
      <c r="AE196" s="663" t="s">
        <v>4934</v>
      </c>
      <c r="AF196" s="663" t="s">
        <v>4929</v>
      </c>
    </row>
    <row r="197" spans="1:32" s="608" customFormat="1" x14ac:dyDescent="0.25">
      <c r="A197" s="624"/>
      <c r="B197" s="617">
        <v>39017011125</v>
      </c>
      <c r="C197" s="617" t="s">
        <v>1865</v>
      </c>
      <c r="D197" s="617" t="s">
        <v>33</v>
      </c>
      <c r="E197" s="617" t="s">
        <v>4850</v>
      </c>
      <c r="F197" s="617" t="s">
        <v>26</v>
      </c>
      <c r="G197" s="624"/>
      <c r="H197" s="669">
        <v>43569</v>
      </c>
      <c r="I197" s="617" t="s">
        <v>4872</v>
      </c>
      <c r="J197" s="617" t="s">
        <v>26</v>
      </c>
      <c r="K197" s="624"/>
      <c r="O197" s="616"/>
      <c r="P197" s="616"/>
      <c r="Q197" s="616"/>
      <c r="AA197" s="624"/>
      <c r="AB197" s="663">
        <v>39017012200</v>
      </c>
      <c r="AC197" s="663" t="s">
        <v>5127</v>
      </c>
      <c r="AD197" s="663" t="s">
        <v>4948</v>
      </c>
      <c r="AE197" s="663" t="s">
        <v>4939</v>
      </c>
      <c r="AF197" s="663" t="s">
        <v>4962</v>
      </c>
    </row>
    <row r="198" spans="1:32" s="608" customFormat="1" x14ac:dyDescent="0.25">
      <c r="A198" s="624"/>
      <c r="B198" s="617">
        <v>39017011126</v>
      </c>
      <c r="C198" s="617" t="s">
        <v>1866</v>
      </c>
      <c r="D198" s="617" t="s">
        <v>33</v>
      </c>
      <c r="E198" s="617" t="s">
        <v>4850</v>
      </c>
      <c r="F198" s="617" t="s">
        <v>26</v>
      </c>
      <c r="G198" s="624"/>
      <c r="H198" s="669">
        <v>43760</v>
      </c>
      <c r="I198" s="617" t="s">
        <v>4871</v>
      </c>
      <c r="J198" s="617" t="s">
        <v>26</v>
      </c>
      <c r="K198" s="624"/>
      <c r="O198" s="616"/>
      <c r="P198" s="616"/>
      <c r="Q198" s="616"/>
      <c r="AA198" s="624"/>
      <c r="AB198" s="663">
        <v>39017012300</v>
      </c>
      <c r="AC198" s="663" t="s">
        <v>5128</v>
      </c>
      <c r="AD198" s="663" t="s">
        <v>4948</v>
      </c>
      <c r="AE198" s="663" t="s">
        <v>4928</v>
      </c>
      <c r="AF198" s="663" t="s">
        <v>4962</v>
      </c>
    </row>
    <row r="199" spans="1:32" s="608" customFormat="1" x14ac:dyDescent="0.25">
      <c r="A199" s="624"/>
      <c r="B199" s="617">
        <v>39017011127</v>
      </c>
      <c r="C199" s="617" t="s">
        <v>1867</v>
      </c>
      <c r="D199" s="617" t="s">
        <v>33</v>
      </c>
      <c r="E199" s="617" t="s">
        <v>4850</v>
      </c>
      <c r="F199" s="617" t="s">
        <v>26</v>
      </c>
      <c r="G199" s="624"/>
      <c r="H199" s="669">
        <v>45005</v>
      </c>
      <c r="I199" s="617" t="s">
        <v>4870</v>
      </c>
      <c r="J199" s="617" t="s">
        <v>26</v>
      </c>
      <c r="K199" s="624"/>
      <c r="O199" s="616"/>
      <c r="P199" s="616"/>
      <c r="Q199" s="616"/>
      <c r="AA199" s="624"/>
      <c r="AB199" s="663">
        <v>39017012400</v>
      </c>
      <c r="AC199" s="663" t="s">
        <v>5129</v>
      </c>
      <c r="AD199" s="663" t="s">
        <v>4950</v>
      </c>
      <c r="AE199" s="663" t="s">
        <v>4928</v>
      </c>
      <c r="AF199" s="663" t="s">
        <v>4946</v>
      </c>
    </row>
    <row r="200" spans="1:32" s="608" customFormat="1" x14ac:dyDescent="0.25">
      <c r="A200" s="624"/>
      <c r="B200" s="617">
        <v>39017011128</v>
      </c>
      <c r="C200" s="617" t="s">
        <v>1868</v>
      </c>
      <c r="D200" s="617" t="s">
        <v>33</v>
      </c>
      <c r="E200" s="617" t="s">
        <v>4850</v>
      </c>
      <c r="F200" s="617" t="s">
        <v>26</v>
      </c>
      <c r="G200" s="624"/>
      <c r="H200" s="669">
        <v>41094</v>
      </c>
      <c r="I200" s="617" t="s">
        <v>4867</v>
      </c>
      <c r="J200" s="617" t="s">
        <v>26</v>
      </c>
      <c r="K200" s="624"/>
      <c r="O200" s="616"/>
      <c r="P200" s="616"/>
      <c r="Q200" s="616"/>
      <c r="AA200" s="624"/>
      <c r="AB200" s="663">
        <v>39017012500</v>
      </c>
      <c r="AC200" s="663" t="s">
        <v>5130</v>
      </c>
      <c r="AD200" s="663" t="s">
        <v>4948</v>
      </c>
      <c r="AE200" s="663" t="s">
        <v>4942</v>
      </c>
      <c r="AF200" s="663" t="s">
        <v>4946</v>
      </c>
    </row>
    <row r="201" spans="1:32" s="608" customFormat="1" x14ac:dyDescent="0.25">
      <c r="A201" s="624"/>
      <c r="B201" s="617">
        <v>39017011129</v>
      </c>
      <c r="C201" s="617" t="s">
        <v>1869</v>
      </c>
      <c r="D201" s="617" t="s">
        <v>33</v>
      </c>
      <c r="E201" s="617" t="s">
        <v>4850</v>
      </c>
      <c r="F201" s="617" t="s">
        <v>26</v>
      </c>
      <c r="G201" s="624"/>
      <c r="H201" s="669">
        <v>44142</v>
      </c>
      <c r="I201" s="617" t="s">
        <v>4869</v>
      </c>
      <c r="J201" s="617" t="s">
        <v>26</v>
      </c>
      <c r="K201" s="624"/>
      <c r="O201" s="616"/>
      <c r="P201" s="616"/>
      <c r="Q201" s="616"/>
      <c r="AA201" s="624"/>
      <c r="AB201" s="663">
        <v>39017012600</v>
      </c>
      <c r="AC201" s="663" t="s">
        <v>5131</v>
      </c>
      <c r="AD201" s="663" t="s">
        <v>4950</v>
      </c>
      <c r="AE201" s="663" t="s">
        <v>4928</v>
      </c>
      <c r="AF201" s="663" t="s">
        <v>4946</v>
      </c>
    </row>
    <row r="202" spans="1:32" s="608" customFormat="1" x14ac:dyDescent="0.25">
      <c r="A202" s="624"/>
      <c r="B202" s="617">
        <v>39017011130</v>
      </c>
      <c r="C202" s="617" t="s">
        <v>1870</v>
      </c>
      <c r="D202" s="617" t="s">
        <v>33</v>
      </c>
      <c r="E202" s="617" t="s">
        <v>4850</v>
      </c>
      <c r="F202" s="617" t="s">
        <v>26</v>
      </c>
      <c r="G202" s="624"/>
      <c r="H202" s="669">
        <v>44089</v>
      </c>
      <c r="I202" s="617" t="s">
        <v>4869</v>
      </c>
      <c r="J202" s="617" t="s">
        <v>26</v>
      </c>
      <c r="K202" s="624"/>
      <c r="O202" s="616"/>
      <c r="P202" s="616"/>
      <c r="Q202" s="616"/>
      <c r="AA202" s="624"/>
      <c r="AB202" s="663">
        <v>39017012700</v>
      </c>
      <c r="AC202" s="663" t="s">
        <v>5132</v>
      </c>
      <c r="AD202" s="663" t="s">
        <v>4941</v>
      </c>
      <c r="AE202" s="663" t="s">
        <v>4928</v>
      </c>
      <c r="AF202" s="663" t="s">
        <v>4962</v>
      </c>
    </row>
    <row r="203" spans="1:32" s="608" customFormat="1" x14ac:dyDescent="0.25">
      <c r="A203" s="624"/>
      <c r="B203" s="617">
        <v>39017011131</v>
      </c>
      <c r="C203" s="617" t="s">
        <v>1871</v>
      </c>
      <c r="D203" s="617" t="s">
        <v>33</v>
      </c>
      <c r="E203" s="617" t="s">
        <v>4850</v>
      </c>
      <c r="F203" s="617" t="s">
        <v>26</v>
      </c>
      <c r="G203" s="624"/>
      <c r="H203" s="669">
        <v>44086</v>
      </c>
      <c r="I203" s="617" t="s">
        <v>4869</v>
      </c>
      <c r="J203" s="617" t="s">
        <v>26</v>
      </c>
      <c r="K203" s="624"/>
      <c r="O203" s="616"/>
      <c r="P203" s="616"/>
      <c r="Q203" s="616"/>
      <c r="AA203" s="624"/>
      <c r="AB203" s="663">
        <v>39017013000</v>
      </c>
      <c r="AC203" s="663" t="s">
        <v>5133</v>
      </c>
      <c r="AD203" s="663" t="s">
        <v>4950</v>
      </c>
      <c r="AE203" s="663" t="s">
        <v>4934</v>
      </c>
      <c r="AF203" s="663" t="s">
        <v>4962</v>
      </c>
    </row>
    <row r="204" spans="1:32" s="608" customFormat="1" x14ac:dyDescent="0.25">
      <c r="A204" s="624"/>
      <c r="B204" s="617">
        <v>39017011132</v>
      </c>
      <c r="C204" s="617" t="s">
        <v>1872</v>
      </c>
      <c r="D204" s="617" t="s">
        <v>33</v>
      </c>
      <c r="E204" s="617" t="s">
        <v>4850</v>
      </c>
      <c r="F204" s="617" t="s">
        <v>26</v>
      </c>
      <c r="G204" s="624"/>
      <c r="H204" s="669">
        <v>44240</v>
      </c>
      <c r="I204" s="617" t="s">
        <v>4868</v>
      </c>
      <c r="J204" s="617" t="s">
        <v>26</v>
      </c>
      <c r="K204" s="624"/>
      <c r="O204" s="616"/>
      <c r="P204" s="616"/>
      <c r="Q204" s="616"/>
      <c r="AA204" s="624"/>
      <c r="AB204" s="663">
        <v>39017013100</v>
      </c>
      <c r="AC204" s="663" t="s">
        <v>5134</v>
      </c>
      <c r="AD204" s="663" t="s">
        <v>4950</v>
      </c>
      <c r="AE204" s="663" t="s">
        <v>4934</v>
      </c>
      <c r="AF204" s="663" t="s">
        <v>4962</v>
      </c>
    </row>
    <row r="205" spans="1:32" s="608" customFormat="1" x14ac:dyDescent="0.25">
      <c r="A205" s="624"/>
      <c r="B205" s="617">
        <v>39017011133</v>
      </c>
      <c r="C205" s="617" t="s">
        <v>1873</v>
      </c>
      <c r="D205" s="617" t="s">
        <v>33</v>
      </c>
      <c r="E205" s="617" t="s">
        <v>4850</v>
      </c>
      <c r="F205" s="617" t="s">
        <v>26</v>
      </c>
      <c r="G205" s="624"/>
      <c r="H205" s="669">
        <v>44243</v>
      </c>
      <c r="I205" s="617" t="s">
        <v>4868</v>
      </c>
      <c r="J205" s="617" t="s">
        <v>26</v>
      </c>
      <c r="K205" s="624"/>
      <c r="O205" s="616"/>
      <c r="P205" s="616"/>
      <c r="Q205" s="616"/>
      <c r="AA205" s="624"/>
      <c r="AB205" s="663">
        <v>39017013200</v>
      </c>
      <c r="AC205" s="663" t="s">
        <v>5135</v>
      </c>
      <c r="AD205" s="663" t="s">
        <v>4948</v>
      </c>
      <c r="AE205" s="663" t="s">
        <v>4928</v>
      </c>
      <c r="AF205" s="663" t="s">
        <v>4962</v>
      </c>
    </row>
    <row r="206" spans="1:32" s="608" customFormat="1" x14ac:dyDescent="0.25">
      <c r="A206" s="624"/>
      <c r="B206" s="617">
        <v>39017011134</v>
      </c>
      <c r="C206" s="617" t="s">
        <v>1874</v>
      </c>
      <c r="D206" s="617" t="s">
        <v>33</v>
      </c>
      <c r="E206" s="617" t="s">
        <v>4850</v>
      </c>
      <c r="F206" s="617" t="s">
        <v>26</v>
      </c>
      <c r="G206" s="624"/>
      <c r="H206" s="669">
        <v>43783</v>
      </c>
      <c r="I206" s="617" t="s">
        <v>1677</v>
      </c>
      <c r="J206" s="617" t="s">
        <v>26</v>
      </c>
      <c r="K206" s="624"/>
      <c r="O206" s="616"/>
      <c r="P206" s="616"/>
      <c r="Q206" s="616"/>
      <c r="AA206" s="624"/>
      <c r="AB206" s="663">
        <v>39017013300</v>
      </c>
      <c r="AC206" s="663" t="s">
        <v>5136</v>
      </c>
      <c r="AD206" s="663" t="s">
        <v>4938</v>
      </c>
      <c r="AE206" s="663" t="s">
        <v>4934</v>
      </c>
      <c r="AF206" s="663" t="s">
        <v>4962</v>
      </c>
    </row>
    <row r="207" spans="1:32" s="608" customFormat="1" x14ac:dyDescent="0.25">
      <c r="A207" s="624"/>
      <c r="B207" s="617">
        <v>39017011135</v>
      </c>
      <c r="C207" s="617" t="s">
        <v>1875</v>
      </c>
      <c r="D207" s="617" t="s">
        <v>33</v>
      </c>
      <c r="E207" s="617" t="s">
        <v>4850</v>
      </c>
      <c r="F207" s="617" t="s">
        <v>26</v>
      </c>
      <c r="G207" s="624"/>
      <c r="H207" s="669">
        <v>45130</v>
      </c>
      <c r="I207" s="617" t="s">
        <v>1674</v>
      </c>
      <c r="J207" s="617" t="s">
        <v>26</v>
      </c>
      <c r="K207" s="624"/>
      <c r="O207" s="616"/>
      <c r="P207" s="616"/>
      <c r="Q207" s="616"/>
      <c r="AA207" s="624"/>
      <c r="AB207" s="663">
        <v>39017013400</v>
      </c>
      <c r="AC207" s="663" t="s">
        <v>5137</v>
      </c>
      <c r="AD207" s="663" t="s">
        <v>4927</v>
      </c>
      <c r="AE207" s="663" t="s">
        <v>4931</v>
      </c>
      <c r="AF207" s="663" t="s">
        <v>4946</v>
      </c>
    </row>
    <row r="208" spans="1:32" s="608" customFormat="1" x14ac:dyDescent="0.25">
      <c r="A208" s="624"/>
      <c r="B208" s="617">
        <v>39017011136</v>
      </c>
      <c r="C208" s="617" t="s">
        <v>1876</v>
      </c>
      <c r="D208" s="617" t="s">
        <v>33</v>
      </c>
      <c r="E208" s="617" t="s">
        <v>4850</v>
      </c>
      <c r="F208" s="617" t="s">
        <v>26</v>
      </c>
      <c r="G208" s="624"/>
      <c r="H208" s="669">
        <v>44720</v>
      </c>
      <c r="I208" s="617" t="s">
        <v>4874</v>
      </c>
      <c r="J208" s="617" t="s">
        <v>26</v>
      </c>
      <c r="K208" s="624"/>
      <c r="O208" s="616"/>
      <c r="P208" s="616"/>
      <c r="Q208" s="616"/>
      <c r="AA208" s="624"/>
      <c r="AB208" s="663">
        <v>39017013500</v>
      </c>
      <c r="AC208" s="663" t="s">
        <v>5138</v>
      </c>
      <c r="AD208" s="663" t="s">
        <v>4927</v>
      </c>
      <c r="AE208" s="663" t="s">
        <v>4928</v>
      </c>
      <c r="AF208" s="663" t="s">
        <v>4946</v>
      </c>
    </row>
    <row r="209" spans="1:32" s="608" customFormat="1" x14ac:dyDescent="0.25">
      <c r="A209" s="624"/>
      <c r="B209" s="617">
        <v>39017011137</v>
      </c>
      <c r="C209" s="617" t="s">
        <v>1877</v>
      </c>
      <c r="D209" s="617" t="s">
        <v>33</v>
      </c>
      <c r="E209" s="617" t="s">
        <v>4850</v>
      </c>
      <c r="F209" s="617" t="s">
        <v>26</v>
      </c>
      <c r="G209" s="624"/>
      <c r="H209" s="669">
        <v>43214</v>
      </c>
      <c r="I209" s="617" t="s">
        <v>4871</v>
      </c>
      <c r="J209" s="617" t="s">
        <v>26</v>
      </c>
      <c r="K209" s="624"/>
      <c r="O209" s="616"/>
      <c r="P209" s="616"/>
      <c r="Q209" s="616"/>
      <c r="AA209" s="624"/>
      <c r="AB209" s="663">
        <v>39017013600</v>
      </c>
      <c r="AC209" s="663" t="s">
        <v>5139</v>
      </c>
      <c r="AD209" s="663" t="s">
        <v>4927</v>
      </c>
      <c r="AE209" s="663" t="s">
        <v>4934</v>
      </c>
      <c r="AF209" s="663" t="s">
        <v>4946</v>
      </c>
    </row>
    <row r="210" spans="1:32" s="608" customFormat="1" x14ac:dyDescent="0.25">
      <c r="A210" s="624"/>
      <c r="B210" s="617">
        <v>39017011200</v>
      </c>
      <c r="C210" s="617" t="s">
        <v>1878</v>
      </c>
      <c r="D210" s="617" t="s">
        <v>33</v>
      </c>
      <c r="E210" s="617" t="s">
        <v>4850</v>
      </c>
      <c r="F210" s="617" t="s">
        <v>26</v>
      </c>
      <c r="G210" s="624"/>
      <c r="H210" s="669">
        <v>43202</v>
      </c>
      <c r="I210" s="617" t="s">
        <v>4871</v>
      </c>
      <c r="J210" s="617" t="s">
        <v>26</v>
      </c>
      <c r="K210" s="624"/>
      <c r="O210" s="616"/>
      <c r="P210" s="616"/>
      <c r="Q210" s="616"/>
      <c r="AA210" s="624"/>
      <c r="AB210" s="663">
        <v>39017013900</v>
      </c>
      <c r="AC210" s="663" t="s">
        <v>5140</v>
      </c>
      <c r="AD210" s="663" t="s">
        <v>4927</v>
      </c>
      <c r="AE210" s="663" t="s">
        <v>4928</v>
      </c>
      <c r="AF210" s="663" t="s">
        <v>4946</v>
      </c>
    </row>
    <row r="211" spans="1:32" s="608" customFormat="1" x14ac:dyDescent="0.25">
      <c r="A211" s="624"/>
      <c r="B211" s="617">
        <v>39017011300</v>
      </c>
      <c r="C211" s="617" t="s">
        <v>1879</v>
      </c>
      <c r="D211" s="617" t="s">
        <v>33</v>
      </c>
      <c r="E211" s="617" t="s">
        <v>4850</v>
      </c>
      <c r="F211" s="617" t="s">
        <v>26</v>
      </c>
      <c r="G211" s="624"/>
      <c r="H211" s="669">
        <v>43125</v>
      </c>
      <c r="I211" s="617" t="s">
        <v>4871</v>
      </c>
      <c r="J211" s="617" t="s">
        <v>26</v>
      </c>
      <c r="K211" s="624"/>
      <c r="O211" s="616"/>
      <c r="P211" s="616"/>
      <c r="Q211" s="616"/>
      <c r="AA211" s="624"/>
      <c r="AB211" s="663">
        <v>39017014000</v>
      </c>
      <c r="AC211" s="663" t="s">
        <v>5141</v>
      </c>
      <c r="AD211" s="663" t="s">
        <v>4927</v>
      </c>
      <c r="AE211" s="663" t="s">
        <v>4934</v>
      </c>
      <c r="AF211" s="663" t="s">
        <v>4946</v>
      </c>
    </row>
    <row r="212" spans="1:32" s="608" customFormat="1" x14ac:dyDescent="0.25">
      <c r="A212" s="624"/>
      <c r="B212" s="617">
        <v>39017011800</v>
      </c>
      <c r="C212" s="617" t="s">
        <v>1880</v>
      </c>
      <c r="D212" s="617" t="s">
        <v>33</v>
      </c>
      <c r="E212" s="617" t="s">
        <v>4850</v>
      </c>
      <c r="F212" s="617" t="s">
        <v>26</v>
      </c>
      <c r="G212" s="624"/>
      <c r="H212" s="669">
        <v>43146</v>
      </c>
      <c r="I212" s="617" t="s">
        <v>4871</v>
      </c>
      <c r="J212" s="617" t="s">
        <v>26</v>
      </c>
      <c r="K212" s="624"/>
      <c r="O212" s="616"/>
      <c r="P212" s="616"/>
      <c r="Q212" s="616"/>
      <c r="AA212" s="624"/>
      <c r="AB212" s="663">
        <v>39017014100</v>
      </c>
      <c r="AC212" s="663" t="s">
        <v>5142</v>
      </c>
      <c r="AD212" s="663" t="s">
        <v>4927</v>
      </c>
      <c r="AE212" s="663" t="s">
        <v>4934</v>
      </c>
      <c r="AF212" s="663" t="s">
        <v>4946</v>
      </c>
    </row>
    <row r="213" spans="1:32" s="608" customFormat="1" x14ac:dyDescent="0.25">
      <c r="A213" s="624"/>
      <c r="B213" s="617">
        <v>39017012100</v>
      </c>
      <c r="C213" s="617" t="s">
        <v>1881</v>
      </c>
      <c r="D213" s="617" t="s">
        <v>33</v>
      </c>
      <c r="E213" s="617" t="s">
        <v>4850</v>
      </c>
      <c r="F213" s="617" t="s">
        <v>26</v>
      </c>
      <c r="G213" s="624"/>
      <c r="H213" s="669">
        <v>44216</v>
      </c>
      <c r="I213" s="617" t="s">
        <v>4874</v>
      </c>
      <c r="J213" s="617" t="s">
        <v>26</v>
      </c>
      <c r="K213" s="624"/>
      <c r="O213" s="616"/>
      <c r="P213" s="616"/>
      <c r="Q213" s="616"/>
      <c r="AA213" s="624"/>
      <c r="AB213" s="663">
        <v>39017014300</v>
      </c>
      <c r="AC213" s="663" t="s">
        <v>5143</v>
      </c>
      <c r="AD213" s="663" t="s">
        <v>4941</v>
      </c>
      <c r="AE213" s="663" t="s">
        <v>4942</v>
      </c>
      <c r="AF213" s="663" t="s">
        <v>4929</v>
      </c>
    </row>
    <row r="214" spans="1:32" s="608" customFormat="1" x14ac:dyDescent="0.25">
      <c r="A214" s="624"/>
      <c r="B214" s="617">
        <v>39017012200</v>
      </c>
      <c r="C214" s="617" t="s">
        <v>1882</v>
      </c>
      <c r="D214" s="617" t="s">
        <v>33</v>
      </c>
      <c r="E214" s="617" t="s">
        <v>4850</v>
      </c>
      <c r="F214" s="617" t="s">
        <v>24</v>
      </c>
      <c r="G214" s="624"/>
      <c r="H214" s="669">
        <v>44640</v>
      </c>
      <c r="I214" s="617" t="s">
        <v>4874</v>
      </c>
      <c r="J214" s="617" t="s">
        <v>26</v>
      </c>
      <c r="K214" s="624"/>
      <c r="O214" s="616"/>
      <c r="P214" s="616"/>
      <c r="Q214" s="616"/>
      <c r="AA214" s="624"/>
      <c r="AB214" s="663">
        <v>39017014400</v>
      </c>
      <c r="AC214" s="663" t="s">
        <v>5144</v>
      </c>
      <c r="AD214" s="663" t="s">
        <v>4927</v>
      </c>
      <c r="AE214" s="663" t="s">
        <v>4931</v>
      </c>
      <c r="AF214" s="663" t="s">
        <v>4962</v>
      </c>
    </row>
    <row r="215" spans="1:32" s="608" customFormat="1" x14ac:dyDescent="0.25">
      <c r="A215" s="624"/>
      <c r="B215" s="617">
        <v>39017012300</v>
      </c>
      <c r="C215" s="617" t="s">
        <v>1883</v>
      </c>
      <c r="D215" s="617" t="s">
        <v>33</v>
      </c>
      <c r="E215" s="617" t="s">
        <v>4850</v>
      </c>
      <c r="F215" s="617" t="s">
        <v>24</v>
      </c>
      <c r="G215" s="624"/>
      <c r="H215" s="669">
        <v>43537</v>
      </c>
      <c r="I215" s="617" t="s">
        <v>4872</v>
      </c>
      <c r="J215" s="617" t="s">
        <v>26</v>
      </c>
      <c r="K215" s="624"/>
      <c r="O215" s="616"/>
      <c r="P215" s="616"/>
      <c r="Q215" s="616"/>
      <c r="AA215" s="624"/>
      <c r="AB215" s="663">
        <v>39017014600</v>
      </c>
      <c r="AC215" s="663" t="s">
        <v>5145</v>
      </c>
      <c r="AD215" s="663" t="s">
        <v>4950</v>
      </c>
      <c r="AE215" s="663" t="s">
        <v>4939</v>
      </c>
      <c r="AF215" s="663" t="s">
        <v>4962</v>
      </c>
    </row>
    <row r="216" spans="1:32" s="608" customFormat="1" x14ac:dyDescent="0.25">
      <c r="A216" s="624"/>
      <c r="B216" s="617">
        <v>39017012400</v>
      </c>
      <c r="C216" s="617" t="s">
        <v>1884</v>
      </c>
      <c r="D216" s="617" t="s">
        <v>33</v>
      </c>
      <c r="E216" s="617" t="s">
        <v>4850</v>
      </c>
      <c r="F216" s="617" t="s">
        <v>26</v>
      </c>
      <c r="G216" s="624"/>
      <c r="H216" s="669">
        <v>43542</v>
      </c>
      <c r="I216" s="617" t="s">
        <v>4872</v>
      </c>
      <c r="J216" s="617" t="s">
        <v>26</v>
      </c>
      <c r="K216" s="624"/>
      <c r="O216" s="616"/>
      <c r="P216" s="616"/>
      <c r="Q216" s="616"/>
      <c r="AA216" s="624"/>
      <c r="AB216" s="663">
        <v>39017014700</v>
      </c>
      <c r="AC216" s="663" t="s">
        <v>5146</v>
      </c>
      <c r="AD216" s="663" t="s">
        <v>4948</v>
      </c>
      <c r="AE216" s="663" t="s">
        <v>4934</v>
      </c>
      <c r="AF216" s="663" t="s">
        <v>4962</v>
      </c>
    </row>
    <row r="217" spans="1:32" s="608" customFormat="1" x14ac:dyDescent="0.25">
      <c r="A217" s="624"/>
      <c r="B217" s="617">
        <v>39017012500</v>
      </c>
      <c r="C217" s="617" t="s">
        <v>1885</v>
      </c>
      <c r="D217" s="617" t="s">
        <v>33</v>
      </c>
      <c r="E217" s="617" t="s">
        <v>4850</v>
      </c>
      <c r="F217" s="617" t="s">
        <v>26</v>
      </c>
      <c r="G217" s="624"/>
      <c r="H217" s="669">
        <v>43413</v>
      </c>
      <c r="I217" s="617" t="s">
        <v>4872</v>
      </c>
      <c r="J217" s="617" t="s">
        <v>26</v>
      </c>
      <c r="K217" s="624"/>
      <c r="O217" s="616"/>
      <c r="P217" s="616"/>
      <c r="Q217" s="616"/>
      <c r="AA217" s="624"/>
      <c r="AB217" s="663">
        <v>39017014800</v>
      </c>
      <c r="AC217" s="663" t="s">
        <v>5147</v>
      </c>
      <c r="AD217" s="663" t="s">
        <v>4950</v>
      </c>
      <c r="AE217" s="663" t="s">
        <v>4942</v>
      </c>
      <c r="AF217" s="663" t="s">
        <v>4946</v>
      </c>
    </row>
    <row r="218" spans="1:32" s="608" customFormat="1" x14ac:dyDescent="0.25">
      <c r="A218" s="624"/>
      <c r="B218" s="617">
        <v>39017012600</v>
      </c>
      <c r="C218" s="617" t="s">
        <v>1886</v>
      </c>
      <c r="D218" s="617" t="s">
        <v>33</v>
      </c>
      <c r="E218" s="617" t="s">
        <v>4850</v>
      </c>
      <c r="F218" s="617" t="s">
        <v>26</v>
      </c>
      <c r="G218" s="624"/>
      <c r="H218" s="669">
        <v>43511</v>
      </c>
      <c r="I218" s="617" t="s">
        <v>4872</v>
      </c>
      <c r="J218" s="617" t="s">
        <v>26</v>
      </c>
      <c r="K218" s="624"/>
      <c r="O218" s="616"/>
      <c r="P218" s="616"/>
      <c r="Q218" s="616"/>
      <c r="AA218" s="624"/>
      <c r="AB218" s="663">
        <v>39017014900</v>
      </c>
      <c r="AC218" s="663" t="s">
        <v>5148</v>
      </c>
      <c r="AD218" s="663" t="s">
        <v>4948</v>
      </c>
      <c r="AE218" s="663" t="s">
        <v>4939</v>
      </c>
      <c r="AF218" s="663" t="s">
        <v>4946</v>
      </c>
    </row>
    <row r="219" spans="1:32" s="608" customFormat="1" x14ac:dyDescent="0.25">
      <c r="A219" s="624"/>
      <c r="B219" s="617">
        <v>39017012700</v>
      </c>
      <c r="C219" s="617" t="s">
        <v>1887</v>
      </c>
      <c r="D219" s="617" t="s">
        <v>33</v>
      </c>
      <c r="E219" s="617" t="s">
        <v>4850</v>
      </c>
      <c r="F219" s="617" t="s">
        <v>26</v>
      </c>
      <c r="G219" s="624"/>
      <c r="H219" s="669">
        <v>43516</v>
      </c>
      <c r="I219" s="617" t="s">
        <v>4872</v>
      </c>
      <c r="J219" s="617" t="s">
        <v>26</v>
      </c>
      <c r="K219" s="624"/>
      <c r="O219" s="616"/>
      <c r="P219" s="616"/>
      <c r="Q219" s="616"/>
      <c r="AA219" s="624"/>
      <c r="AB219" s="663">
        <v>39017015000</v>
      </c>
      <c r="AC219" s="663" t="s">
        <v>5149</v>
      </c>
      <c r="AD219" s="663" t="s">
        <v>4941</v>
      </c>
      <c r="AE219" s="663" t="s">
        <v>4942</v>
      </c>
      <c r="AF219" s="663" t="s">
        <v>4929</v>
      </c>
    </row>
    <row r="220" spans="1:32" s="608" customFormat="1" x14ac:dyDescent="0.25">
      <c r="A220" s="624"/>
      <c r="B220" s="617">
        <v>39017013000</v>
      </c>
      <c r="C220" s="617" t="s">
        <v>1888</v>
      </c>
      <c r="D220" s="617" t="s">
        <v>33</v>
      </c>
      <c r="E220" s="617" t="s">
        <v>4850</v>
      </c>
      <c r="F220" s="617" t="s">
        <v>24</v>
      </c>
      <c r="G220" s="624"/>
      <c r="H220" s="669">
        <v>41076</v>
      </c>
      <c r="I220" s="617" t="s">
        <v>4867</v>
      </c>
      <c r="J220" s="617" t="s">
        <v>26</v>
      </c>
      <c r="K220" s="624"/>
      <c r="O220" s="616"/>
      <c r="P220" s="616"/>
      <c r="Q220" s="616"/>
      <c r="AA220" s="624"/>
      <c r="AB220" s="663">
        <v>39017015100</v>
      </c>
      <c r="AC220" s="663" t="s">
        <v>5150</v>
      </c>
      <c r="AD220" s="663" t="s">
        <v>4927</v>
      </c>
      <c r="AE220" s="663" t="s">
        <v>4934</v>
      </c>
      <c r="AF220" s="663" t="s">
        <v>4946</v>
      </c>
    </row>
    <row r="221" spans="1:32" s="608" customFormat="1" x14ac:dyDescent="0.25">
      <c r="A221" s="624"/>
      <c r="B221" s="617">
        <v>39017013100</v>
      </c>
      <c r="C221" s="617" t="s">
        <v>1889</v>
      </c>
      <c r="D221" s="617" t="s">
        <v>33</v>
      </c>
      <c r="E221" s="617" t="s">
        <v>4850</v>
      </c>
      <c r="F221" s="617" t="s">
        <v>24</v>
      </c>
      <c r="G221" s="624"/>
      <c r="H221" s="669">
        <v>41099</v>
      </c>
      <c r="I221" s="617" t="s">
        <v>4867</v>
      </c>
      <c r="J221" s="617" t="s">
        <v>26</v>
      </c>
      <c r="K221" s="624"/>
      <c r="O221" s="616"/>
      <c r="P221" s="616"/>
      <c r="Q221" s="616"/>
      <c r="AA221" s="624"/>
      <c r="AB221" s="663">
        <v>39019720100</v>
      </c>
      <c r="AC221" s="663" t="s">
        <v>5151</v>
      </c>
      <c r="AD221" s="663" t="s">
        <v>4950</v>
      </c>
      <c r="AE221" s="663" t="s">
        <v>4931</v>
      </c>
      <c r="AF221" s="663" t="s">
        <v>4929</v>
      </c>
    </row>
    <row r="222" spans="1:32" s="608" customFormat="1" x14ac:dyDescent="0.25">
      <c r="A222" s="624"/>
      <c r="B222" s="617">
        <v>39017013200</v>
      </c>
      <c r="C222" s="617" t="s">
        <v>1890</v>
      </c>
      <c r="D222" s="617" t="s">
        <v>33</v>
      </c>
      <c r="E222" s="617" t="s">
        <v>4850</v>
      </c>
      <c r="F222" s="617" t="s">
        <v>24</v>
      </c>
      <c r="G222" s="624"/>
      <c r="H222" s="669">
        <v>45424</v>
      </c>
      <c r="I222" s="617" t="s">
        <v>4870</v>
      </c>
      <c r="J222" s="617" t="s">
        <v>26</v>
      </c>
      <c r="K222" s="624"/>
      <c r="O222" s="616"/>
      <c r="P222" s="616"/>
      <c r="Q222" s="616"/>
      <c r="AA222" s="624"/>
      <c r="AB222" s="663">
        <v>39019720200</v>
      </c>
      <c r="AC222" s="663" t="s">
        <v>5152</v>
      </c>
      <c r="AD222" s="663" t="s">
        <v>4950</v>
      </c>
      <c r="AE222" s="663" t="s">
        <v>4942</v>
      </c>
      <c r="AF222" s="663" t="s">
        <v>4929</v>
      </c>
    </row>
    <row r="223" spans="1:32" s="608" customFormat="1" x14ac:dyDescent="0.25">
      <c r="A223" s="624"/>
      <c r="B223" s="617">
        <v>39017013300</v>
      </c>
      <c r="C223" s="617" t="s">
        <v>1891</v>
      </c>
      <c r="D223" s="617" t="s">
        <v>33</v>
      </c>
      <c r="E223" s="617" t="s">
        <v>4850</v>
      </c>
      <c r="F223" s="617" t="s">
        <v>26</v>
      </c>
      <c r="G223" s="624"/>
      <c r="H223" s="669">
        <v>44116</v>
      </c>
      <c r="I223" s="617" t="s">
        <v>4869</v>
      </c>
      <c r="J223" s="617" t="s">
        <v>26</v>
      </c>
      <c r="K223" s="624"/>
      <c r="O223" s="616"/>
      <c r="P223" s="616"/>
      <c r="Q223" s="616"/>
      <c r="AA223" s="624"/>
      <c r="AB223" s="663">
        <v>39019720300</v>
      </c>
      <c r="AC223" s="663" t="s">
        <v>5153</v>
      </c>
      <c r="AD223" s="663" t="s">
        <v>4927</v>
      </c>
      <c r="AE223" s="663" t="s">
        <v>4931</v>
      </c>
      <c r="AF223" s="663" t="s">
        <v>4929</v>
      </c>
    </row>
    <row r="224" spans="1:32" s="608" customFormat="1" x14ac:dyDescent="0.25">
      <c r="A224" s="624"/>
      <c r="B224" s="617">
        <v>39017013400</v>
      </c>
      <c r="C224" s="617" t="s">
        <v>1892</v>
      </c>
      <c r="D224" s="617" t="s">
        <v>33</v>
      </c>
      <c r="E224" s="617" t="s">
        <v>4850</v>
      </c>
      <c r="F224" s="617" t="s">
        <v>24</v>
      </c>
      <c r="G224" s="624"/>
      <c r="H224" s="669">
        <v>44057</v>
      </c>
      <c r="I224" s="617" t="s">
        <v>4869</v>
      </c>
      <c r="J224" s="617" t="s">
        <v>26</v>
      </c>
      <c r="K224" s="624"/>
      <c r="O224" s="616"/>
      <c r="P224" s="616"/>
      <c r="Q224" s="616"/>
      <c r="AA224" s="624"/>
      <c r="AB224" s="663">
        <v>39019720400</v>
      </c>
      <c r="AC224" s="663" t="s">
        <v>5154</v>
      </c>
      <c r="AD224" s="663" t="s">
        <v>4950</v>
      </c>
      <c r="AE224" s="663" t="s">
        <v>4942</v>
      </c>
      <c r="AF224" s="663" t="s">
        <v>4929</v>
      </c>
    </row>
    <row r="225" spans="1:32" s="608" customFormat="1" x14ac:dyDescent="0.25">
      <c r="A225" s="624"/>
      <c r="B225" s="617">
        <v>39017013500</v>
      </c>
      <c r="C225" s="617" t="s">
        <v>1893</v>
      </c>
      <c r="D225" s="617" t="s">
        <v>33</v>
      </c>
      <c r="E225" s="617" t="s">
        <v>4850</v>
      </c>
      <c r="F225" s="617" t="s">
        <v>24</v>
      </c>
      <c r="G225" s="624"/>
      <c r="H225" s="669">
        <v>44253</v>
      </c>
      <c r="I225" s="617" t="s">
        <v>4869</v>
      </c>
      <c r="J225" s="617" t="s">
        <v>26</v>
      </c>
      <c r="K225" s="624"/>
      <c r="O225" s="616"/>
      <c r="P225" s="616"/>
      <c r="Q225" s="616"/>
      <c r="AA225" s="624"/>
      <c r="AB225" s="663">
        <v>39019720500</v>
      </c>
      <c r="AC225" s="663" t="s">
        <v>5155</v>
      </c>
      <c r="AD225" s="663" t="s">
        <v>4948</v>
      </c>
      <c r="AE225" s="663" t="s">
        <v>4939</v>
      </c>
      <c r="AF225" s="663" t="s">
        <v>4929</v>
      </c>
    </row>
    <row r="226" spans="1:32" s="608" customFormat="1" x14ac:dyDescent="0.25">
      <c r="A226" s="624"/>
      <c r="B226" s="617">
        <v>39017013600</v>
      </c>
      <c r="C226" s="617" t="s">
        <v>1894</v>
      </c>
      <c r="D226" s="617" t="s">
        <v>33</v>
      </c>
      <c r="E226" s="617" t="s">
        <v>4850</v>
      </c>
      <c r="F226" s="617" t="s">
        <v>24</v>
      </c>
      <c r="G226" s="624"/>
      <c r="H226" s="669">
        <v>44319</v>
      </c>
      <c r="I226" s="617" t="s">
        <v>4868</v>
      </c>
      <c r="J226" s="617" t="s">
        <v>26</v>
      </c>
      <c r="K226" s="624"/>
      <c r="O226" s="616"/>
      <c r="P226" s="616"/>
      <c r="Q226" s="616"/>
      <c r="AA226" s="624"/>
      <c r="AB226" s="663">
        <v>39019720600</v>
      </c>
      <c r="AC226" s="663" t="s">
        <v>5156</v>
      </c>
      <c r="AD226" s="663" t="s">
        <v>4927</v>
      </c>
      <c r="AE226" s="663" t="s">
        <v>4931</v>
      </c>
      <c r="AF226" s="663" t="s">
        <v>4929</v>
      </c>
    </row>
    <row r="227" spans="1:32" s="608" customFormat="1" x14ac:dyDescent="0.25">
      <c r="A227" s="624"/>
      <c r="B227" s="617">
        <v>39017013900</v>
      </c>
      <c r="C227" s="617" t="s">
        <v>1895</v>
      </c>
      <c r="D227" s="617" t="s">
        <v>33</v>
      </c>
      <c r="E227" s="617" t="s">
        <v>4850</v>
      </c>
      <c r="F227" s="617" t="s">
        <v>24</v>
      </c>
      <c r="G227" s="624"/>
      <c r="H227" s="669">
        <v>43031</v>
      </c>
      <c r="I227" s="617" t="s">
        <v>4871</v>
      </c>
      <c r="J227" s="617" t="s">
        <v>26</v>
      </c>
      <c r="K227" s="624"/>
      <c r="O227" s="616"/>
      <c r="P227" s="616"/>
      <c r="Q227" s="616"/>
      <c r="AA227" s="624"/>
      <c r="AB227" s="663">
        <v>39019720700</v>
      </c>
      <c r="AC227" s="663" t="s">
        <v>5157</v>
      </c>
      <c r="AD227" s="663" t="s">
        <v>4950</v>
      </c>
      <c r="AE227" s="663" t="s">
        <v>4939</v>
      </c>
      <c r="AF227" s="663" t="s">
        <v>4929</v>
      </c>
    </row>
    <row r="228" spans="1:32" s="608" customFormat="1" x14ac:dyDescent="0.25">
      <c r="A228" s="624"/>
      <c r="B228" s="617">
        <v>39017014000</v>
      </c>
      <c r="C228" s="617" t="s">
        <v>1896</v>
      </c>
      <c r="D228" s="617" t="s">
        <v>33</v>
      </c>
      <c r="E228" s="617" t="s">
        <v>4850</v>
      </c>
      <c r="F228" s="617" t="s">
        <v>24</v>
      </c>
      <c r="G228" s="624"/>
      <c r="H228" s="669">
        <v>43157</v>
      </c>
      <c r="I228" s="617" t="s">
        <v>4871</v>
      </c>
      <c r="J228" s="617" t="s">
        <v>26</v>
      </c>
      <c r="K228" s="624"/>
      <c r="O228" s="616"/>
      <c r="P228" s="616"/>
      <c r="Q228" s="616"/>
      <c r="AA228" s="624"/>
      <c r="AB228" s="663">
        <v>39021010100</v>
      </c>
      <c r="AC228" s="663" t="s">
        <v>5158</v>
      </c>
      <c r="AD228" s="663" t="s">
        <v>4948</v>
      </c>
      <c r="AE228" s="663" t="s">
        <v>4928</v>
      </c>
      <c r="AF228" s="663" t="s">
        <v>4929</v>
      </c>
    </row>
    <row r="229" spans="1:32" s="608" customFormat="1" x14ac:dyDescent="0.25">
      <c r="A229" s="624"/>
      <c r="B229" s="617">
        <v>39017014100</v>
      </c>
      <c r="C229" s="617" t="s">
        <v>1897</v>
      </c>
      <c r="D229" s="617" t="s">
        <v>33</v>
      </c>
      <c r="E229" s="617" t="s">
        <v>4850</v>
      </c>
      <c r="F229" s="617" t="s">
        <v>24</v>
      </c>
      <c r="G229" s="624"/>
      <c r="H229" s="669">
        <v>45226</v>
      </c>
      <c r="I229" s="617" t="s">
        <v>4867</v>
      </c>
      <c r="J229" s="617" t="s">
        <v>26</v>
      </c>
      <c r="K229" s="624"/>
      <c r="O229" s="616"/>
      <c r="P229" s="616"/>
      <c r="Q229" s="616"/>
      <c r="AA229" s="624"/>
      <c r="AB229" s="663">
        <v>39021010200</v>
      </c>
      <c r="AC229" s="663" t="s">
        <v>5159</v>
      </c>
      <c r="AD229" s="663" t="s">
        <v>4950</v>
      </c>
      <c r="AE229" s="663" t="s">
        <v>4934</v>
      </c>
      <c r="AF229" s="663" t="s">
        <v>4929</v>
      </c>
    </row>
    <row r="230" spans="1:32" s="608" customFormat="1" x14ac:dyDescent="0.25">
      <c r="A230" s="624"/>
      <c r="B230" s="617">
        <v>39017014300</v>
      </c>
      <c r="C230" s="617" t="s">
        <v>1898</v>
      </c>
      <c r="D230" s="617" t="s">
        <v>33</v>
      </c>
      <c r="E230" s="617" t="s">
        <v>4850</v>
      </c>
      <c r="F230" s="617" t="s">
        <v>26</v>
      </c>
      <c r="G230" s="624"/>
      <c r="H230" s="669">
        <v>44843</v>
      </c>
      <c r="I230" s="617" t="s">
        <v>4877</v>
      </c>
      <c r="J230" s="617" t="s">
        <v>26</v>
      </c>
      <c r="K230" s="624"/>
      <c r="O230" s="616"/>
      <c r="P230" s="616"/>
      <c r="Q230" s="616"/>
      <c r="AA230" s="624"/>
      <c r="AB230" s="663">
        <v>39021010400</v>
      </c>
      <c r="AC230" s="663" t="s">
        <v>5160</v>
      </c>
      <c r="AD230" s="663" t="s">
        <v>4950</v>
      </c>
      <c r="AE230" s="663" t="s">
        <v>4939</v>
      </c>
      <c r="AF230" s="663" t="s">
        <v>4929</v>
      </c>
    </row>
    <row r="231" spans="1:32" s="608" customFormat="1" x14ac:dyDescent="0.25">
      <c r="A231" s="624"/>
      <c r="B231" s="617">
        <v>39017014400</v>
      </c>
      <c r="C231" s="617" t="s">
        <v>1899</v>
      </c>
      <c r="D231" s="617" t="s">
        <v>33</v>
      </c>
      <c r="E231" s="617" t="s">
        <v>4850</v>
      </c>
      <c r="F231" s="617" t="s">
        <v>24</v>
      </c>
      <c r="G231" s="624"/>
      <c r="H231" s="669">
        <v>45808</v>
      </c>
      <c r="I231" s="617" t="s">
        <v>4875</v>
      </c>
      <c r="J231" s="617" t="s">
        <v>26</v>
      </c>
      <c r="K231" s="624"/>
      <c r="O231" s="616"/>
      <c r="P231" s="616"/>
      <c r="Q231" s="616"/>
      <c r="AA231" s="624"/>
      <c r="AB231" s="663">
        <v>39021010500</v>
      </c>
      <c r="AC231" s="663" t="s">
        <v>5161</v>
      </c>
      <c r="AD231" s="663" t="s">
        <v>4948</v>
      </c>
      <c r="AE231" s="663" t="s">
        <v>4934</v>
      </c>
      <c r="AF231" s="663" t="s">
        <v>4983</v>
      </c>
    </row>
    <row r="232" spans="1:32" s="608" customFormat="1" x14ac:dyDescent="0.25">
      <c r="A232" s="624"/>
      <c r="B232" s="617">
        <v>39017014600</v>
      </c>
      <c r="C232" s="617" t="s">
        <v>1900</v>
      </c>
      <c r="D232" s="617" t="s">
        <v>33</v>
      </c>
      <c r="E232" s="617" t="s">
        <v>4850</v>
      </c>
      <c r="F232" s="617" t="s">
        <v>24</v>
      </c>
      <c r="G232" s="624"/>
      <c r="H232" s="669">
        <v>43529</v>
      </c>
      <c r="I232" s="617" t="s">
        <v>4872</v>
      </c>
      <c r="J232" s="617" t="s">
        <v>26</v>
      </c>
      <c r="K232" s="624"/>
      <c r="O232" s="616"/>
      <c r="P232" s="616"/>
      <c r="Q232" s="616"/>
      <c r="AA232" s="624"/>
      <c r="AB232" s="663">
        <v>39021010600</v>
      </c>
      <c r="AC232" s="663" t="s">
        <v>5162</v>
      </c>
      <c r="AD232" s="663" t="s">
        <v>4948</v>
      </c>
      <c r="AE232" s="663" t="s">
        <v>4928</v>
      </c>
      <c r="AF232" s="663" t="s">
        <v>4929</v>
      </c>
    </row>
    <row r="233" spans="1:32" s="608" customFormat="1" x14ac:dyDescent="0.25">
      <c r="A233" s="624"/>
      <c r="B233" s="617">
        <v>39017014700</v>
      </c>
      <c r="C233" s="617" t="s">
        <v>1901</v>
      </c>
      <c r="D233" s="617" t="s">
        <v>33</v>
      </c>
      <c r="E233" s="617" t="s">
        <v>4850</v>
      </c>
      <c r="F233" s="617" t="s">
        <v>26</v>
      </c>
      <c r="G233" s="624"/>
      <c r="H233" s="669">
        <v>45327</v>
      </c>
      <c r="I233" s="617" t="s">
        <v>4870</v>
      </c>
      <c r="J233" s="617" t="s">
        <v>26</v>
      </c>
      <c r="K233" s="624"/>
      <c r="O233" s="616"/>
      <c r="P233" s="616"/>
      <c r="Q233" s="616"/>
      <c r="AA233" s="624"/>
      <c r="AB233" s="663">
        <v>39021011001</v>
      </c>
      <c r="AC233" s="663" t="s">
        <v>5163</v>
      </c>
      <c r="AD233" s="663" t="s">
        <v>4950</v>
      </c>
      <c r="AE233" s="663" t="s">
        <v>4931</v>
      </c>
      <c r="AF233" s="663" t="s">
        <v>4929</v>
      </c>
    </row>
    <row r="234" spans="1:32" s="608" customFormat="1" x14ac:dyDescent="0.25">
      <c r="A234" s="624"/>
      <c r="B234" s="617">
        <v>39017014800</v>
      </c>
      <c r="C234" s="617" t="s">
        <v>1902</v>
      </c>
      <c r="D234" s="617" t="s">
        <v>33</v>
      </c>
      <c r="E234" s="617" t="s">
        <v>4850</v>
      </c>
      <c r="F234" s="617" t="s">
        <v>26</v>
      </c>
      <c r="G234" s="624"/>
      <c r="H234" s="669">
        <v>45325</v>
      </c>
      <c r="I234" s="617" t="s">
        <v>4870</v>
      </c>
      <c r="J234" s="617" t="s">
        <v>26</v>
      </c>
      <c r="K234" s="624"/>
      <c r="O234" s="616"/>
      <c r="P234" s="616"/>
      <c r="Q234" s="616"/>
      <c r="AA234" s="624"/>
      <c r="AB234" s="663">
        <v>39021011501</v>
      </c>
      <c r="AC234" s="663" t="s">
        <v>5164</v>
      </c>
      <c r="AD234" s="663" t="s">
        <v>4948</v>
      </c>
      <c r="AE234" s="663" t="s">
        <v>4942</v>
      </c>
      <c r="AF234" s="663" t="s">
        <v>4929</v>
      </c>
    </row>
    <row r="235" spans="1:32" s="608" customFormat="1" x14ac:dyDescent="0.25">
      <c r="A235" s="624"/>
      <c r="B235" s="617">
        <v>39017014900</v>
      </c>
      <c r="C235" s="617" t="s">
        <v>1903</v>
      </c>
      <c r="D235" s="617" t="s">
        <v>33</v>
      </c>
      <c r="E235" s="617" t="s">
        <v>4850</v>
      </c>
      <c r="F235" s="617" t="s">
        <v>26</v>
      </c>
      <c r="G235" s="624"/>
      <c r="H235" s="669">
        <v>45326</v>
      </c>
      <c r="I235" s="617" t="s">
        <v>4870</v>
      </c>
      <c r="J235" s="617" t="s">
        <v>26</v>
      </c>
      <c r="K235" s="624"/>
      <c r="O235" s="616"/>
      <c r="P235" s="616"/>
      <c r="Q235" s="616"/>
      <c r="AA235" s="624"/>
      <c r="AB235" s="663">
        <v>39021011504</v>
      </c>
      <c r="AC235" s="663" t="s">
        <v>5165</v>
      </c>
      <c r="AD235" s="663" t="s">
        <v>4941</v>
      </c>
      <c r="AE235" s="663" t="s">
        <v>4934</v>
      </c>
      <c r="AF235" s="663" t="s">
        <v>4929</v>
      </c>
    </row>
    <row r="236" spans="1:32" s="608" customFormat="1" x14ac:dyDescent="0.25">
      <c r="A236" s="624"/>
      <c r="B236" s="617">
        <v>39017015000</v>
      </c>
      <c r="C236" s="617" t="s">
        <v>1904</v>
      </c>
      <c r="D236" s="617" t="s">
        <v>33</v>
      </c>
      <c r="E236" s="617" t="s">
        <v>4850</v>
      </c>
      <c r="F236" s="617" t="s">
        <v>26</v>
      </c>
      <c r="G236" s="624"/>
      <c r="H236" s="669">
        <v>44130</v>
      </c>
      <c r="I236" s="617" t="s">
        <v>4869</v>
      </c>
      <c r="J236" s="617" t="s">
        <v>26</v>
      </c>
      <c r="K236" s="624"/>
      <c r="O236" s="616"/>
      <c r="P236" s="616"/>
      <c r="Q236" s="616"/>
      <c r="AA236" s="624"/>
      <c r="AB236" s="663">
        <v>39021011505</v>
      </c>
      <c r="AC236" s="663" t="s">
        <v>5166</v>
      </c>
      <c r="AD236" s="663" t="s">
        <v>4948</v>
      </c>
      <c r="AE236" s="663" t="s">
        <v>4934</v>
      </c>
      <c r="AF236" s="663" t="s">
        <v>4929</v>
      </c>
    </row>
    <row r="237" spans="1:32" s="608" customFormat="1" x14ac:dyDescent="0.25">
      <c r="A237" s="624"/>
      <c r="B237" s="617">
        <v>39017015100</v>
      </c>
      <c r="C237" s="617" t="s">
        <v>1905</v>
      </c>
      <c r="D237" s="617" t="s">
        <v>33</v>
      </c>
      <c r="E237" s="617" t="s">
        <v>4850</v>
      </c>
      <c r="F237" s="617" t="s">
        <v>26</v>
      </c>
      <c r="G237" s="624"/>
      <c r="H237" s="669">
        <v>44134</v>
      </c>
      <c r="I237" s="617" t="s">
        <v>4869</v>
      </c>
      <c r="J237" s="617" t="s">
        <v>26</v>
      </c>
      <c r="K237" s="624"/>
      <c r="O237" s="616"/>
      <c r="P237" s="616"/>
      <c r="Q237" s="616"/>
      <c r="AA237" s="624"/>
      <c r="AB237" s="663">
        <v>39021011506</v>
      </c>
      <c r="AC237" s="663" t="s">
        <v>5167</v>
      </c>
      <c r="AD237" s="663" t="s">
        <v>4948</v>
      </c>
      <c r="AE237" s="663" t="s">
        <v>4939</v>
      </c>
      <c r="AF237" s="663" t="s">
        <v>4929</v>
      </c>
    </row>
    <row r="238" spans="1:32" s="608" customFormat="1" x14ac:dyDescent="0.25">
      <c r="A238" s="624"/>
      <c r="B238" s="617">
        <v>39019720100</v>
      </c>
      <c r="C238" s="617" t="s">
        <v>1906</v>
      </c>
      <c r="D238" s="617" t="s">
        <v>34</v>
      </c>
      <c r="E238" s="617" t="s">
        <v>4851</v>
      </c>
      <c r="F238" s="617" t="s">
        <v>26</v>
      </c>
      <c r="G238" s="624"/>
      <c r="H238" s="669">
        <v>44070</v>
      </c>
      <c r="I238" s="617" t="s">
        <v>4869</v>
      </c>
      <c r="J238" s="617" t="s">
        <v>26</v>
      </c>
      <c r="K238" s="624"/>
      <c r="O238" s="616"/>
      <c r="P238" s="616"/>
      <c r="Q238" s="616"/>
      <c r="AA238" s="624"/>
      <c r="AB238" s="663">
        <v>39023000200</v>
      </c>
      <c r="AC238" s="663" t="s">
        <v>5168</v>
      </c>
      <c r="AD238" s="663" t="s">
        <v>4948</v>
      </c>
      <c r="AE238" s="663" t="s">
        <v>4931</v>
      </c>
      <c r="AF238" s="663" t="s">
        <v>4962</v>
      </c>
    </row>
    <row r="239" spans="1:32" s="608" customFormat="1" x14ac:dyDescent="0.25">
      <c r="A239" s="624"/>
      <c r="B239" s="617">
        <v>39019720200</v>
      </c>
      <c r="C239" s="617" t="s">
        <v>1907</v>
      </c>
      <c r="D239" s="617" t="s">
        <v>34</v>
      </c>
      <c r="E239" s="617" t="s">
        <v>4851</v>
      </c>
      <c r="F239" s="617" t="s">
        <v>26</v>
      </c>
      <c r="G239" s="624"/>
      <c r="H239" s="669">
        <v>44125</v>
      </c>
      <c r="I239" s="617" t="s">
        <v>4869</v>
      </c>
      <c r="J239" s="617" t="s">
        <v>26</v>
      </c>
      <c r="K239" s="624"/>
      <c r="O239" s="616"/>
      <c r="P239" s="616"/>
      <c r="Q239" s="616"/>
      <c r="AA239" s="624"/>
      <c r="AB239" s="663">
        <v>39023000300</v>
      </c>
      <c r="AC239" s="663" t="s">
        <v>5169</v>
      </c>
      <c r="AD239" s="663" t="s">
        <v>4950</v>
      </c>
      <c r="AE239" s="663" t="s">
        <v>4931</v>
      </c>
      <c r="AF239" s="663" t="s">
        <v>4962</v>
      </c>
    </row>
    <row r="240" spans="1:32" s="608" customFormat="1" x14ac:dyDescent="0.25">
      <c r="A240" s="624"/>
      <c r="B240" s="617">
        <v>39019720300</v>
      </c>
      <c r="C240" s="617" t="s">
        <v>1908</v>
      </c>
      <c r="D240" s="617" t="s">
        <v>34</v>
      </c>
      <c r="E240" s="617" t="s">
        <v>4851</v>
      </c>
      <c r="F240" s="617" t="s">
        <v>26</v>
      </c>
      <c r="G240" s="624"/>
      <c r="H240" s="669">
        <v>44115</v>
      </c>
      <c r="I240" s="617" t="s">
        <v>4869</v>
      </c>
      <c r="J240" s="617" t="s">
        <v>26</v>
      </c>
      <c r="K240" s="624"/>
      <c r="O240" s="616"/>
      <c r="P240" s="616"/>
      <c r="Q240" s="616"/>
      <c r="AA240" s="624"/>
      <c r="AB240" s="663">
        <v>39023000400</v>
      </c>
      <c r="AC240" s="663" t="s">
        <v>5170</v>
      </c>
      <c r="AD240" s="663" t="s">
        <v>4950</v>
      </c>
      <c r="AE240" s="663" t="s">
        <v>4939</v>
      </c>
      <c r="AF240" s="663" t="s">
        <v>4962</v>
      </c>
    </row>
    <row r="241" spans="1:32" s="608" customFormat="1" x14ac:dyDescent="0.25">
      <c r="A241" s="624"/>
      <c r="B241" s="617">
        <v>39019720400</v>
      </c>
      <c r="C241" s="617" t="s">
        <v>1909</v>
      </c>
      <c r="D241" s="617" t="s">
        <v>34</v>
      </c>
      <c r="E241" s="617" t="s">
        <v>4851</v>
      </c>
      <c r="F241" s="617" t="s">
        <v>26</v>
      </c>
      <c r="G241" s="624"/>
      <c r="H241" s="669">
        <v>44101</v>
      </c>
      <c r="I241" s="617" t="s">
        <v>4869</v>
      </c>
      <c r="J241" s="617" t="s">
        <v>26</v>
      </c>
      <c r="K241" s="624"/>
      <c r="O241" s="616"/>
      <c r="P241" s="616"/>
      <c r="Q241" s="616"/>
      <c r="AA241" s="624"/>
      <c r="AB241" s="663">
        <v>39023000500</v>
      </c>
      <c r="AC241" s="663" t="s">
        <v>5171</v>
      </c>
      <c r="AD241" s="663" t="s">
        <v>4950</v>
      </c>
      <c r="AE241" s="663" t="s">
        <v>4934</v>
      </c>
      <c r="AF241" s="663" t="s">
        <v>4962</v>
      </c>
    </row>
    <row r="242" spans="1:32" s="608" customFormat="1" x14ac:dyDescent="0.25">
      <c r="A242" s="624"/>
      <c r="B242" s="617">
        <v>39019720500</v>
      </c>
      <c r="C242" s="617" t="s">
        <v>1910</v>
      </c>
      <c r="D242" s="617" t="s">
        <v>34</v>
      </c>
      <c r="E242" s="617" t="s">
        <v>4851</v>
      </c>
      <c r="F242" s="617" t="s">
        <v>26</v>
      </c>
      <c r="G242" s="624"/>
      <c r="H242" s="669">
        <v>43123</v>
      </c>
      <c r="I242" s="617" t="s">
        <v>4871</v>
      </c>
      <c r="J242" s="617" t="s">
        <v>26</v>
      </c>
      <c r="K242" s="624"/>
      <c r="O242" s="616"/>
      <c r="P242" s="616"/>
      <c r="Q242" s="616"/>
      <c r="AA242" s="624"/>
      <c r="AB242" s="663">
        <v>39023000600</v>
      </c>
      <c r="AC242" s="663" t="s">
        <v>5172</v>
      </c>
      <c r="AD242" s="663" t="s">
        <v>4948</v>
      </c>
      <c r="AE242" s="663" t="s">
        <v>4939</v>
      </c>
      <c r="AF242" s="663" t="s">
        <v>4962</v>
      </c>
    </row>
    <row r="243" spans="1:32" s="608" customFormat="1" x14ac:dyDescent="0.25">
      <c r="A243" s="624"/>
      <c r="B243" s="617">
        <v>39019720600</v>
      </c>
      <c r="C243" s="617" t="s">
        <v>1911</v>
      </c>
      <c r="D243" s="617" t="s">
        <v>34</v>
      </c>
      <c r="E243" s="617" t="s">
        <v>4851</v>
      </c>
      <c r="F243" s="617" t="s">
        <v>26</v>
      </c>
      <c r="G243" s="624"/>
      <c r="H243" s="669">
        <v>41042</v>
      </c>
      <c r="I243" s="617" t="s">
        <v>4867</v>
      </c>
      <c r="J243" s="617" t="s">
        <v>26</v>
      </c>
      <c r="K243" s="624"/>
      <c r="O243" s="616"/>
      <c r="P243" s="616"/>
      <c r="Q243" s="616"/>
      <c r="AA243" s="624"/>
      <c r="AB243" s="663">
        <v>39023000700</v>
      </c>
      <c r="AC243" s="663" t="s">
        <v>5173</v>
      </c>
      <c r="AD243" s="663" t="s">
        <v>4941</v>
      </c>
      <c r="AE243" s="663" t="s">
        <v>4928</v>
      </c>
      <c r="AF243" s="663" t="s">
        <v>4962</v>
      </c>
    </row>
    <row r="244" spans="1:32" s="608" customFormat="1" x14ac:dyDescent="0.25">
      <c r="A244" s="624"/>
      <c r="B244" s="617">
        <v>39019720700</v>
      </c>
      <c r="C244" s="617" t="s">
        <v>1912</v>
      </c>
      <c r="D244" s="617" t="s">
        <v>34</v>
      </c>
      <c r="E244" s="617" t="s">
        <v>4851</v>
      </c>
      <c r="F244" s="617" t="s">
        <v>26</v>
      </c>
      <c r="G244" s="624"/>
      <c r="H244" s="669">
        <v>43119</v>
      </c>
      <c r="I244" s="617" t="s">
        <v>4871</v>
      </c>
      <c r="J244" s="617" t="s">
        <v>26</v>
      </c>
      <c r="K244" s="624"/>
      <c r="O244" s="616"/>
      <c r="P244" s="616"/>
      <c r="Q244" s="616"/>
      <c r="AA244" s="624"/>
      <c r="AB244" s="663">
        <v>39023000901</v>
      </c>
      <c r="AC244" s="663" t="s">
        <v>5174</v>
      </c>
      <c r="AD244" s="663" t="s">
        <v>4927</v>
      </c>
      <c r="AE244" s="663" t="s">
        <v>4942</v>
      </c>
      <c r="AF244" s="663" t="s">
        <v>4962</v>
      </c>
    </row>
    <row r="245" spans="1:32" s="608" customFormat="1" x14ac:dyDescent="0.25">
      <c r="A245" s="624"/>
      <c r="B245" s="617">
        <v>39021010100</v>
      </c>
      <c r="C245" s="617" t="s">
        <v>1913</v>
      </c>
      <c r="D245" s="617" t="s">
        <v>35</v>
      </c>
      <c r="E245" s="617" t="s">
        <v>1672</v>
      </c>
      <c r="F245" s="617" t="s">
        <v>26</v>
      </c>
      <c r="G245" s="624"/>
      <c r="H245" s="669">
        <v>45122</v>
      </c>
      <c r="I245" s="617" t="s">
        <v>4867</v>
      </c>
      <c r="J245" s="617" t="s">
        <v>26</v>
      </c>
      <c r="K245" s="624"/>
      <c r="O245" s="616"/>
      <c r="P245" s="616"/>
      <c r="Q245" s="616"/>
      <c r="AA245" s="624"/>
      <c r="AB245" s="663">
        <v>39023000902</v>
      </c>
      <c r="AC245" s="663" t="s">
        <v>5175</v>
      </c>
      <c r="AD245" s="663" t="s">
        <v>4950</v>
      </c>
      <c r="AE245" s="663" t="s">
        <v>4928</v>
      </c>
      <c r="AF245" s="663" t="s">
        <v>4962</v>
      </c>
    </row>
    <row r="246" spans="1:32" s="608" customFormat="1" x14ac:dyDescent="0.25">
      <c r="A246" s="624"/>
      <c r="B246" s="617">
        <v>39021010200</v>
      </c>
      <c r="C246" s="617" t="s">
        <v>1914</v>
      </c>
      <c r="D246" s="617" t="s">
        <v>35</v>
      </c>
      <c r="E246" s="617" t="s">
        <v>1672</v>
      </c>
      <c r="F246" s="617" t="s">
        <v>26</v>
      </c>
      <c r="G246" s="624"/>
      <c r="H246" s="669">
        <v>43071</v>
      </c>
      <c r="I246" s="617" t="s">
        <v>4871</v>
      </c>
      <c r="J246" s="617" t="s">
        <v>26</v>
      </c>
      <c r="K246" s="624"/>
      <c r="O246" s="616"/>
      <c r="P246" s="616"/>
      <c r="Q246" s="616"/>
      <c r="AA246" s="624"/>
      <c r="AB246" s="663">
        <v>39023001000</v>
      </c>
      <c r="AC246" s="663" t="s">
        <v>5176</v>
      </c>
      <c r="AD246" s="663" t="s">
        <v>4950</v>
      </c>
      <c r="AE246" s="663" t="s">
        <v>4928</v>
      </c>
      <c r="AF246" s="663" t="s">
        <v>4946</v>
      </c>
    </row>
    <row r="247" spans="1:32" s="608" customFormat="1" x14ac:dyDescent="0.25">
      <c r="A247" s="624"/>
      <c r="B247" s="617">
        <v>39021010400</v>
      </c>
      <c r="C247" s="617" t="s">
        <v>1915</v>
      </c>
      <c r="D247" s="617" t="s">
        <v>35</v>
      </c>
      <c r="E247" s="617" t="s">
        <v>1672</v>
      </c>
      <c r="F247" s="617" t="s">
        <v>26</v>
      </c>
      <c r="G247" s="624"/>
      <c r="H247" s="669">
        <v>43066</v>
      </c>
      <c r="I247" s="617" t="s">
        <v>4871</v>
      </c>
      <c r="J247" s="617" t="s">
        <v>26</v>
      </c>
      <c r="K247" s="624"/>
      <c r="O247" s="616"/>
      <c r="P247" s="616"/>
      <c r="Q247" s="616"/>
      <c r="AA247" s="624"/>
      <c r="AB247" s="663">
        <v>39023001101</v>
      </c>
      <c r="AC247" s="663" t="s">
        <v>5177</v>
      </c>
      <c r="AD247" s="663" t="s">
        <v>4950</v>
      </c>
      <c r="AE247" s="663" t="s">
        <v>4928</v>
      </c>
      <c r="AF247" s="663" t="s">
        <v>4962</v>
      </c>
    </row>
    <row r="248" spans="1:32" s="608" customFormat="1" x14ac:dyDescent="0.25">
      <c r="A248" s="624"/>
      <c r="B248" s="617">
        <v>39021010500</v>
      </c>
      <c r="C248" s="617" t="s">
        <v>1916</v>
      </c>
      <c r="D248" s="617" t="s">
        <v>35</v>
      </c>
      <c r="E248" s="617" t="s">
        <v>1672</v>
      </c>
      <c r="F248" s="617" t="s">
        <v>26</v>
      </c>
      <c r="G248" s="624"/>
      <c r="H248" s="669">
        <v>44685</v>
      </c>
      <c r="I248" s="617" t="s">
        <v>4868</v>
      </c>
      <c r="J248" s="617" t="s">
        <v>26</v>
      </c>
      <c r="K248" s="624"/>
      <c r="O248" s="616"/>
      <c r="P248" s="616"/>
      <c r="Q248" s="616"/>
      <c r="AA248" s="624"/>
      <c r="AB248" s="663">
        <v>39023001102</v>
      </c>
      <c r="AC248" s="663" t="s">
        <v>5178</v>
      </c>
      <c r="AD248" s="663" t="s">
        <v>4927</v>
      </c>
      <c r="AE248" s="663" t="s">
        <v>4931</v>
      </c>
      <c r="AF248" s="663" t="s">
        <v>4946</v>
      </c>
    </row>
    <row r="249" spans="1:32" s="608" customFormat="1" x14ac:dyDescent="0.25">
      <c r="A249" s="624"/>
      <c r="B249" s="617">
        <v>39021010600</v>
      </c>
      <c r="C249" s="617" t="s">
        <v>1917</v>
      </c>
      <c r="D249" s="617" t="s">
        <v>35</v>
      </c>
      <c r="E249" s="617" t="s">
        <v>1672</v>
      </c>
      <c r="F249" s="617" t="s">
        <v>26</v>
      </c>
      <c r="G249" s="624"/>
      <c r="H249" s="669">
        <v>44301</v>
      </c>
      <c r="I249" s="617" t="s">
        <v>4868</v>
      </c>
      <c r="J249" s="617" t="s">
        <v>26</v>
      </c>
      <c r="K249" s="624"/>
      <c r="O249" s="616"/>
      <c r="P249" s="616"/>
      <c r="Q249" s="616"/>
      <c r="AA249" s="624"/>
      <c r="AB249" s="663">
        <v>39023001200</v>
      </c>
      <c r="AC249" s="663" t="s">
        <v>5179</v>
      </c>
      <c r="AD249" s="663" t="s">
        <v>4927</v>
      </c>
      <c r="AE249" s="663" t="s">
        <v>4934</v>
      </c>
      <c r="AF249" s="663" t="s">
        <v>4962</v>
      </c>
    </row>
    <row r="250" spans="1:32" s="608" customFormat="1" x14ac:dyDescent="0.25">
      <c r="A250" s="624"/>
      <c r="B250" s="617">
        <v>39021011001</v>
      </c>
      <c r="C250" s="617" t="s">
        <v>1918</v>
      </c>
      <c r="D250" s="617" t="s">
        <v>35</v>
      </c>
      <c r="E250" s="617" t="s">
        <v>1672</v>
      </c>
      <c r="F250" s="617" t="s">
        <v>26</v>
      </c>
      <c r="G250" s="624"/>
      <c r="H250" s="669">
        <v>45805</v>
      </c>
      <c r="I250" s="617" t="s">
        <v>4875</v>
      </c>
      <c r="J250" s="617" t="s">
        <v>26</v>
      </c>
      <c r="K250" s="624"/>
      <c r="O250" s="616"/>
      <c r="P250" s="616"/>
      <c r="Q250" s="616"/>
      <c r="AA250" s="624"/>
      <c r="AB250" s="663">
        <v>39023001300</v>
      </c>
      <c r="AC250" s="663" t="s">
        <v>5180</v>
      </c>
      <c r="AD250" s="663" t="s">
        <v>4948</v>
      </c>
      <c r="AE250" s="663" t="s">
        <v>4942</v>
      </c>
      <c r="AF250" s="663" t="s">
        <v>4962</v>
      </c>
    </row>
    <row r="251" spans="1:32" s="608" customFormat="1" x14ac:dyDescent="0.25">
      <c r="A251" s="624"/>
      <c r="B251" s="617">
        <v>39021011501</v>
      </c>
      <c r="C251" s="617" t="s">
        <v>1919</v>
      </c>
      <c r="D251" s="617" t="s">
        <v>35</v>
      </c>
      <c r="E251" s="617" t="s">
        <v>1672</v>
      </c>
      <c r="F251" s="617" t="s">
        <v>26</v>
      </c>
      <c r="G251" s="624"/>
      <c r="H251" s="669">
        <v>44410</v>
      </c>
      <c r="I251" s="617" t="s">
        <v>4873</v>
      </c>
      <c r="J251" s="617" t="s">
        <v>26</v>
      </c>
      <c r="K251" s="624"/>
      <c r="O251" s="616"/>
      <c r="P251" s="616"/>
      <c r="Q251" s="616"/>
      <c r="AA251" s="624"/>
      <c r="AB251" s="663">
        <v>39023001400</v>
      </c>
      <c r="AC251" s="663" t="s">
        <v>5181</v>
      </c>
      <c r="AD251" s="663" t="s">
        <v>4941</v>
      </c>
      <c r="AE251" s="663" t="s">
        <v>4928</v>
      </c>
      <c r="AF251" s="663" t="s">
        <v>4962</v>
      </c>
    </row>
    <row r="252" spans="1:32" s="608" customFormat="1" x14ac:dyDescent="0.25">
      <c r="A252" s="624"/>
      <c r="B252" s="617">
        <v>39021011504</v>
      </c>
      <c r="C252" s="617" t="s">
        <v>1920</v>
      </c>
      <c r="D252" s="617" t="s">
        <v>35</v>
      </c>
      <c r="E252" s="617" t="s">
        <v>1672</v>
      </c>
      <c r="F252" s="617" t="s">
        <v>26</v>
      </c>
      <c r="G252" s="624"/>
      <c r="H252" s="669">
        <v>45833</v>
      </c>
      <c r="I252" s="617" t="s">
        <v>4875</v>
      </c>
      <c r="J252" s="617" t="s">
        <v>26</v>
      </c>
      <c r="K252" s="624"/>
      <c r="O252" s="616"/>
      <c r="P252" s="616"/>
      <c r="Q252" s="616"/>
      <c r="AA252" s="624"/>
      <c r="AB252" s="663">
        <v>39023001500</v>
      </c>
      <c r="AC252" s="663" t="s">
        <v>5182</v>
      </c>
      <c r="AD252" s="663" t="s">
        <v>4941</v>
      </c>
      <c r="AE252" s="663" t="s">
        <v>4931</v>
      </c>
      <c r="AF252" s="663" t="s">
        <v>4962</v>
      </c>
    </row>
    <row r="253" spans="1:32" s="608" customFormat="1" x14ac:dyDescent="0.25">
      <c r="A253" s="624"/>
      <c r="B253" s="617">
        <v>39021011505</v>
      </c>
      <c r="C253" s="617" t="s">
        <v>1921</v>
      </c>
      <c r="D253" s="617" t="s">
        <v>35</v>
      </c>
      <c r="E253" s="617" t="s">
        <v>1672</v>
      </c>
      <c r="F253" s="617" t="s">
        <v>26</v>
      </c>
      <c r="G253" s="624"/>
      <c r="H253" s="669">
        <v>45341</v>
      </c>
      <c r="I253" s="617" t="s">
        <v>4876</v>
      </c>
      <c r="J253" s="617" t="s">
        <v>26</v>
      </c>
      <c r="K253" s="624"/>
      <c r="O253" s="616"/>
      <c r="P253" s="616"/>
      <c r="Q253" s="616"/>
      <c r="AA253" s="624"/>
      <c r="AB253" s="663">
        <v>39023001600</v>
      </c>
      <c r="AC253" s="663" t="s">
        <v>5183</v>
      </c>
      <c r="AD253" s="663" t="s">
        <v>4950</v>
      </c>
      <c r="AE253" s="663" t="s">
        <v>4928</v>
      </c>
      <c r="AF253" s="663" t="s">
        <v>4946</v>
      </c>
    </row>
    <row r="254" spans="1:32" s="608" customFormat="1" x14ac:dyDescent="0.25">
      <c r="A254" s="624"/>
      <c r="B254" s="617">
        <v>39021011506</v>
      </c>
      <c r="C254" s="617" t="s">
        <v>1922</v>
      </c>
      <c r="D254" s="617" t="s">
        <v>35</v>
      </c>
      <c r="E254" s="617" t="s">
        <v>1672</v>
      </c>
      <c r="F254" s="617" t="s">
        <v>26</v>
      </c>
      <c r="G254" s="624"/>
      <c r="H254" s="669">
        <v>45887</v>
      </c>
      <c r="I254" s="617" t="s">
        <v>4875</v>
      </c>
      <c r="J254" s="617" t="s">
        <v>26</v>
      </c>
      <c r="K254" s="624"/>
      <c r="O254" s="616"/>
      <c r="P254" s="616"/>
      <c r="Q254" s="616"/>
      <c r="AA254" s="624"/>
      <c r="AB254" s="663">
        <v>39023001700</v>
      </c>
      <c r="AC254" s="663" t="s">
        <v>5184</v>
      </c>
      <c r="AD254" s="663" t="s">
        <v>4927</v>
      </c>
      <c r="AE254" s="663" t="s">
        <v>4934</v>
      </c>
      <c r="AF254" s="663" t="s">
        <v>4946</v>
      </c>
    </row>
    <row r="255" spans="1:32" s="608" customFormat="1" x14ac:dyDescent="0.25">
      <c r="A255" s="624"/>
      <c r="B255" s="617">
        <v>39023000200</v>
      </c>
      <c r="C255" s="617" t="s">
        <v>1923</v>
      </c>
      <c r="D255" s="617" t="s">
        <v>36</v>
      </c>
      <c r="E255" s="617" t="s">
        <v>4852</v>
      </c>
      <c r="F255" s="617" t="s">
        <v>24</v>
      </c>
      <c r="G255" s="624"/>
      <c r="H255" s="669">
        <v>44429</v>
      </c>
      <c r="I255" s="617" t="s">
        <v>4873</v>
      </c>
      <c r="J255" s="617" t="s">
        <v>26</v>
      </c>
      <c r="K255" s="624"/>
      <c r="O255" s="616"/>
      <c r="P255" s="616"/>
      <c r="Q255" s="616"/>
      <c r="AA255" s="624"/>
      <c r="AB255" s="663">
        <v>39023001900</v>
      </c>
      <c r="AC255" s="663" t="s">
        <v>5185</v>
      </c>
      <c r="AD255" s="663" t="s">
        <v>4948</v>
      </c>
      <c r="AE255" s="663" t="s">
        <v>4942</v>
      </c>
      <c r="AF255" s="663" t="s">
        <v>4946</v>
      </c>
    </row>
    <row r="256" spans="1:32" s="608" customFormat="1" x14ac:dyDescent="0.25">
      <c r="A256" s="624"/>
      <c r="B256" s="617">
        <v>39023000300</v>
      </c>
      <c r="C256" s="617" t="s">
        <v>1924</v>
      </c>
      <c r="D256" s="617" t="s">
        <v>36</v>
      </c>
      <c r="E256" s="617" t="s">
        <v>4852</v>
      </c>
      <c r="F256" s="617" t="s">
        <v>24</v>
      </c>
      <c r="G256" s="624"/>
      <c r="H256" s="669">
        <v>45106</v>
      </c>
      <c r="I256" s="617" t="s">
        <v>1674</v>
      </c>
      <c r="J256" s="617" t="s">
        <v>26</v>
      </c>
      <c r="K256" s="624"/>
      <c r="O256" s="616"/>
      <c r="P256" s="616"/>
      <c r="Q256" s="616"/>
      <c r="AA256" s="624"/>
      <c r="AB256" s="663">
        <v>39023002000</v>
      </c>
      <c r="AC256" s="663" t="s">
        <v>5186</v>
      </c>
      <c r="AD256" s="663" t="s">
        <v>4948</v>
      </c>
      <c r="AE256" s="663" t="s">
        <v>4931</v>
      </c>
      <c r="AF256" s="663" t="s">
        <v>4946</v>
      </c>
    </row>
    <row r="257" spans="1:32" s="608" customFormat="1" x14ac:dyDescent="0.25">
      <c r="A257" s="624"/>
      <c r="B257" s="617">
        <v>39023000400</v>
      </c>
      <c r="C257" s="617" t="s">
        <v>1925</v>
      </c>
      <c r="D257" s="617" t="s">
        <v>36</v>
      </c>
      <c r="E257" s="617" t="s">
        <v>4852</v>
      </c>
      <c r="F257" s="617" t="s">
        <v>24</v>
      </c>
      <c r="G257" s="624"/>
      <c r="H257" s="669">
        <v>43150</v>
      </c>
      <c r="I257" s="617" t="s">
        <v>1677</v>
      </c>
      <c r="J257" s="617" t="s">
        <v>26</v>
      </c>
      <c r="K257" s="624"/>
      <c r="O257" s="616"/>
      <c r="P257" s="616"/>
      <c r="Q257" s="616"/>
      <c r="AA257" s="624"/>
      <c r="AB257" s="663">
        <v>39023002100</v>
      </c>
      <c r="AC257" s="663" t="s">
        <v>5187</v>
      </c>
      <c r="AD257" s="663" t="s">
        <v>4948</v>
      </c>
      <c r="AE257" s="663" t="s">
        <v>4939</v>
      </c>
      <c r="AF257" s="663" t="s">
        <v>4946</v>
      </c>
    </row>
    <row r="258" spans="1:32" s="608" customFormat="1" x14ac:dyDescent="0.25">
      <c r="A258" s="624"/>
      <c r="B258" s="617">
        <v>39023000500</v>
      </c>
      <c r="C258" s="617" t="s">
        <v>1926</v>
      </c>
      <c r="D258" s="617" t="s">
        <v>36</v>
      </c>
      <c r="E258" s="617" t="s">
        <v>4852</v>
      </c>
      <c r="F258" s="617" t="s">
        <v>24</v>
      </c>
      <c r="G258" s="624"/>
      <c r="H258" s="669">
        <v>45418</v>
      </c>
      <c r="I258" s="617" t="s">
        <v>4870</v>
      </c>
      <c r="J258" s="617" t="s">
        <v>26</v>
      </c>
      <c r="K258" s="624"/>
      <c r="O258" s="616"/>
      <c r="P258" s="616"/>
      <c r="Q258" s="616"/>
      <c r="AA258" s="624"/>
      <c r="AB258" s="663">
        <v>39023002200</v>
      </c>
      <c r="AC258" s="663" t="s">
        <v>5188</v>
      </c>
      <c r="AD258" s="663" t="s">
        <v>4948</v>
      </c>
      <c r="AE258" s="663" t="s">
        <v>4931</v>
      </c>
      <c r="AF258" s="663" t="s">
        <v>4946</v>
      </c>
    </row>
    <row r="259" spans="1:32" s="608" customFormat="1" x14ac:dyDescent="0.25">
      <c r="A259" s="624"/>
      <c r="B259" s="617">
        <v>39023000600</v>
      </c>
      <c r="C259" s="617" t="s">
        <v>1927</v>
      </c>
      <c r="D259" s="617" t="s">
        <v>36</v>
      </c>
      <c r="E259" s="617" t="s">
        <v>4852</v>
      </c>
      <c r="F259" s="617" t="s">
        <v>24</v>
      </c>
      <c r="G259" s="624"/>
      <c r="H259" s="669">
        <v>43615</v>
      </c>
      <c r="I259" s="617" t="s">
        <v>4872</v>
      </c>
      <c r="J259" s="617" t="s">
        <v>26</v>
      </c>
      <c r="K259" s="624"/>
      <c r="O259" s="616"/>
      <c r="P259" s="616"/>
      <c r="Q259" s="616"/>
      <c r="AA259" s="624"/>
      <c r="AB259" s="663">
        <v>39023002301</v>
      </c>
      <c r="AC259" s="663" t="s">
        <v>5189</v>
      </c>
      <c r="AD259" s="663" t="s">
        <v>4950</v>
      </c>
      <c r="AE259" s="663" t="s">
        <v>4931</v>
      </c>
      <c r="AF259" s="663" t="s">
        <v>4929</v>
      </c>
    </row>
    <row r="260" spans="1:32" s="608" customFormat="1" x14ac:dyDescent="0.25">
      <c r="A260" s="624"/>
      <c r="B260" s="617">
        <v>39023000700</v>
      </c>
      <c r="C260" s="617" t="s">
        <v>1928</v>
      </c>
      <c r="D260" s="617" t="s">
        <v>36</v>
      </c>
      <c r="E260" s="617" t="s">
        <v>4852</v>
      </c>
      <c r="F260" s="617" t="s">
        <v>24</v>
      </c>
      <c r="G260" s="624"/>
      <c r="H260" s="669">
        <v>43571</v>
      </c>
      <c r="I260" s="617" t="s">
        <v>4872</v>
      </c>
      <c r="J260" s="617" t="s">
        <v>26</v>
      </c>
      <c r="K260" s="624"/>
      <c r="O260" s="616"/>
      <c r="P260" s="616"/>
      <c r="Q260" s="616"/>
      <c r="AA260" s="624"/>
      <c r="AB260" s="663">
        <v>39023002403</v>
      </c>
      <c r="AC260" s="663" t="s">
        <v>5190</v>
      </c>
      <c r="AD260" s="663" t="s">
        <v>4948</v>
      </c>
      <c r="AE260" s="663" t="s">
        <v>4934</v>
      </c>
      <c r="AF260" s="663" t="s">
        <v>4946</v>
      </c>
    </row>
    <row r="261" spans="1:32" s="608" customFormat="1" x14ac:dyDescent="0.25">
      <c r="A261" s="624"/>
      <c r="B261" s="617">
        <v>39023000901</v>
      </c>
      <c r="C261" s="617" t="s">
        <v>1929</v>
      </c>
      <c r="D261" s="617" t="s">
        <v>36</v>
      </c>
      <c r="E261" s="617" t="s">
        <v>4852</v>
      </c>
      <c r="F261" s="617" t="s">
        <v>24</v>
      </c>
      <c r="G261" s="624"/>
      <c r="H261" s="669">
        <v>43451</v>
      </c>
      <c r="I261" s="617" t="s">
        <v>4872</v>
      </c>
      <c r="J261" s="617" t="s">
        <v>26</v>
      </c>
      <c r="K261" s="624"/>
      <c r="O261" s="616"/>
      <c r="P261" s="616"/>
      <c r="Q261" s="616"/>
      <c r="AA261" s="624"/>
      <c r="AB261" s="663">
        <v>39023002404</v>
      </c>
      <c r="AC261" s="663" t="s">
        <v>5191</v>
      </c>
      <c r="AD261" s="663" t="s">
        <v>4950</v>
      </c>
      <c r="AE261" s="663" t="s">
        <v>4928</v>
      </c>
      <c r="AF261" s="663" t="s">
        <v>4946</v>
      </c>
    </row>
    <row r="262" spans="1:32" s="608" customFormat="1" x14ac:dyDescent="0.25">
      <c r="A262" s="624"/>
      <c r="B262" s="617">
        <v>39023000902</v>
      </c>
      <c r="C262" s="617" t="s">
        <v>1930</v>
      </c>
      <c r="D262" s="617" t="s">
        <v>36</v>
      </c>
      <c r="E262" s="617" t="s">
        <v>4852</v>
      </c>
      <c r="F262" s="617" t="s">
        <v>24</v>
      </c>
      <c r="G262" s="624"/>
      <c r="H262" s="669">
        <v>44281</v>
      </c>
      <c r="I262" s="617" t="s">
        <v>4869</v>
      </c>
      <c r="J262" s="617" t="s">
        <v>26</v>
      </c>
      <c r="K262" s="624"/>
      <c r="O262" s="616"/>
      <c r="P262" s="616"/>
      <c r="Q262" s="616"/>
      <c r="AA262" s="624"/>
      <c r="AB262" s="663">
        <v>39023002501</v>
      </c>
      <c r="AC262" s="663" t="s">
        <v>5192</v>
      </c>
      <c r="AD262" s="663" t="s">
        <v>4948</v>
      </c>
      <c r="AE262" s="663" t="s">
        <v>4931</v>
      </c>
      <c r="AF262" s="663" t="s">
        <v>4946</v>
      </c>
    </row>
    <row r="263" spans="1:32" s="608" customFormat="1" x14ac:dyDescent="0.25">
      <c r="A263" s="624"/>
      <c r="B263" s="617">
        <v>39023001000</v>
      </c>
      <c r="C263" s="617" t="s">
        <v>1931</v>
      </c>
      <c r="D263" s="617" t="s">
        <v>36</v>
      </c>
      <c r="E263" s="617" t="s">
        <v>4852</v>
      </c>
      <c r="F263" s="617" t="s">
        <v>26</v>
      </c>
      <c r="G263" s="624"/>
      <c r="H263" s="669">
        <v>44146</v>
      </c>
      <c r="I263" s="617" t="s">
        <v>4869</v>
      </c>
      <c r="J263" s="617" t="s">
        <v>26</v>
      </c>
      <c r="K263" s="624"/>
      <c r="O263" s="616"/>
      <c r="P263" s="616"/>
      <c r="Q263" s="616"/>
      <c r="AA263" s="624"/>
      <c r="AB263" s="663">
        <v>39023002502</v>
      </c>
      <c r="AC263" s="663" t="s">
        <v>5193</v>
      </c>
      <c r="AD263" s="663" t="s">
        <v>4941</v>
      </c>
      <c r="AE263" s="663" t="s">
        <v>4934</v>
      </c>
      <c r="AF263" s="663" t="s">
        <v>4929</v>
      </c>
    </row>
    <row r="264" spans="1:32" s="608" customFormat="1" x14ac:dyDescent="0.25">
      <c r="A264" s="624"/>
      <c r="B264" s="617">
        <v>39023001101</v>
      </c>
      <c r="C264" s="617" t="s">
        <v>1932</v>
      </c>
      <c r="D264" s="617" t="s">
        <v>36</v>
      </c>
      <c r="E264" s="617" t="s">
        <v>4852</v>
      </c>
      <c r="F264" s="617" t="s">
        <v>24</v>
      </c>
      <c r="G264" s="624"/>
      <c r="H264" s="669">
        <v>44001</v>
      </c>
      <c r="I264" s="617" t="s">
        <v>4869</v>
      </c>
      <c r="J264" s="617" t="s">
        <v>26</v>
      </c>
      <c r="K264" s="624"/>
      <c r="O264" s="616"/>
      <c r="P264" s="616"/>
      <c r="Q264" s="616"/>
      <c r="AA264" s="624"/>
      <c r="AB264" s="663">
        <v>39023002601</v>
      </c>
      <c r="AC264" s="663" t="s">
        <v>5194</v>
      </c>
      <c r="AD264" s="663" t="s">
        <v>4941</v>
      </c>
      <c r="AE264" s="663" t="s">
        <v>4928</v>
      </c>
      <c r="AF264" s="663" t="s">
        <v>4929</v>
      </c>
    </row>
    <row r="265" spans="1:32" s="608" customFormat="1" x14ac:dyDescent="0.25">
      <c r="A265" s="624"/>
      <c r="B265" s="617">
        <v>39023001102</v>
      </c>
      <c r="C265" s="617" t="s">
        <v>1933</v>
      </c>
      <c r="D265" s="617" t="s">
        <v>36</v>
      </c>
      <c r="E265" s="617" t="s">
        <v>4852</v>
      </c>
      <c r="F265" s="617" t="s">
        <v>26</v>
      </c>
      <c r="G265" s="624"/>
      <c r="H265" s="669">
        <v>44044</v>
      </c>
      <c r="I265" s="617" t="s">
        <v>4869</v>
      </c>
      <c r="J265" s="617" t="s">
        <v>26</v>
      </c>
      <c r="K265" s="624"/>
      <c r="O265" s="616"/>
      <c r="P265" s="616"/>
      <c r="Q265" s="616"/>
      <c r="AA265" s="624"/>
      <c r="AB265" s="663">
        <v>39023002602</v>
      </c>
      <c r="AC265" s="663" t="s">
        <v>5195</v>
      </c>
      <c r="AD265" s="663" t="s">
        <v>4938</v>
      </c>
      <c r="AE265" s="663" t="s">
        <v>4939</v>
      </c>
      <c r="AF265" s="663" t="s">
        <v>4929</v>
      </c>
    </row>
    <row r="266" spans="1:32" s="608" customFormat="1" x14ac:dyDescent="0.25">
      <c r="A266" s="624"/>
      <c r="B266" s="617">
        <v>39023001200</v>
      </c>
      <c r="C266" s="617" t="s">
        <v>1934</v>
      </c>
      <c r="D266" s="617" t="s">
        <v>36</v>
      </c>
      <c r="E266" s="617" t="s">
        <v>4852</v>
      </c>
      <c r="F266" s="617" t="s">
        <v>24</v>
      </c>
      <c r="G266" s="624"/>
      <c r="H266" s="669">
        <v>44081</v>
      </c>
      <c r="I266" s="617" t="s">
        <v>4869</v>
      </c>
      <c r="J266" s="617" t="s">
        <v>26</v>
      </c>
      <c r="K266" s="624"/>
      <c r="O266" s="616"/>
      <c r="P266" s="616"/>
      <c r="Q266" s="616"/>
      <c r="AA266" s="624"/>
      <c r="AB266" s="663">
        <v>39023002605</v>
      </c>
      <c r="AC266" s="663" t="s">
        <v>5196</v>
      </c>
      <c r="AD266" s="663" t="s">
        <v>4941</v>
      </c>
      <c r="AE266" s="663" t="s">
        <v>4942</v>
      </c>
      <c r="AF266" s="663" t="s">
        <v>4929</v>
      </c>
    </row>
    <row r="267" spans="1:32" s="608" customFormat="1" x14ac:dyDescent="0.25">
      <c r="A267" s="624"/>
      <c r="B267" s="617">
        <v>39023001300</v>
      </c>
      <c r="C267" s="617" t="s">
        <v>1935</v>
      </c>
      <c r="D267" s="617" t="s">
        <v>36</v>
      </c>
      <c r="E267" s="617" t="s">
        <v>4852</v>
      </c>
      <c r="F267" s="617" t="s">
        <v>26</v>
      </c>
      <c r="G267" s="624"/>
      <c r="H267" s="669">
        <v>44274</v>
      </c>
      <c r="I267" s="617" t="s">
        <v>4869</v>
      </c>
      <c r="J267" s="617" t="s">
        <v>26</v>
      </c>
      <c r="K267" s="624"/>
      <c r="O267" s="616"/>
      <c r="P267" s="616"/>
      <c r="Q267" s="616"/>
      <c r="AA267" s="624"/>
      <c r="AB267" s="663">
        <v>39023002606</v>
      </c>
      <c r="AC267" s="663" t="s">
        <v>5197</v>
      </c>
      <c r="AD267" s="663" t="s">
        <v>4948</v>
      </c>
      <c r="AE267" s="663" t="s">
        <v>4931</v>
      </c>
      <c r="AF267" s="663" t="s">
        <v>4946</v>
      </c>
    </row>
    <row r="268" spans="1:32" s="608" customFormat="1" x14ac:dyDescent="0.25">
      <c r="A268" s="624"/>
      <c r="B268" s="617">
        <v>39023001400</v>
      </c>
      <c r="C268" s="617" t="s">
        <v>1936</v>
      </c>
      <c r="D268" s="617" t="s">
        <v>36</v>
      </c>
      <c r="E268" s="617" t="s">
        <v>4852</v>
      </c>
      <c r="F268" s="617" t="s">
        <v>26</v>
      </c>
      <c r="G268" s="624"/>
      <c r="H268" s="669">
        <v>45014</v>
      </c>
      <c r="I268" s="617" t="s">
        <v>4867</v>
      </c>
      <c r="J268" s="617" t="s">
        <v>26</v>
      </c>
      <c r="K268" s="624"/>
      <c r="O268" s="616"/>
      <c r="P268" s="616"/>
      <c r="Q268" s="616"/>
      <c r="AA268" s="624"/>
      <c r="AB268" s="663">
        <v>39023002701</v>
      </c>
      <c r="AC268" s="663" t="s">
        <v>5198</v>
      </c>
      <c r="AD268" s="663" t="s">
        <v>4927</v>
      </c>
      <c r="AE268" s="663" t="s">
        <v>4942</v>
      </c>
      <c r="AF268" s="663" t="s">
        <v>4929</v>
      </c>
    </row>
    <row r="269" spans="1:32" s="608" customFormat="1" x14ac:dyDescent="0.25">
      <c r="A269" s="624"/>
      <c r="B269" s="617">
        <v>39023001500</v>
      </c>
      <c r="C269" s="617" t="s">
        <v>1937</v>
      </c>
      <c r="D269" s="617" t="s">
        <v>36</v>
      </c>
      <c r="E269" s="617" t="s">
        <v>4852</v>
      </c>
      <c r="F269" s="617" t="s">
        <v>26</v>
      </c>
      <c r="G269" s="624"/>
      <c r="H269" s="669">
        <v>45236</v>
      </c>
      <c r="I269" s="617" t="s">
        <v>4867</v>
      </c>
      <c r="J269" s="617" t="s">
        <v>26</v>
      </c>
      <c r="K269" s="624"/>
      <c r="O269" s="616"/>
      <c r="P269" s="616"/>
      <c r="Q269" s="616"/>
      <c r="AA269" s="624"/>
      <c r="AB269" s="663">
        <v>39023002702</v>
      </c>
      <c r="AC269" s="663" t="s">
        <v>5199</v>
      </c>
      <c r="AD269" s="663" t="s">
        <v>4950</v>
      </c>
      <c r="AE269" s="663" t="s">
        <v>4939</v>
      </c>
      <c r="AF269" s="663" t="s">
        <v>4946</v>
      </c>
    </row>
    <row r="270" spans="1:32" s="608" customFormat="1" x14ac:dyDescent="0.25">
      <c r="A270" s="624"/>
      <c r="B270" s="617">
        <v>39023001600</v>
      </c>
      <c r="C270" s="617" t="s">
        <v>1938</v>
      </c>
      <c r="D270" s="617" t="s">
        <v>36</v>
      </c>
      <c r="E270" s="617" t="s">
        <v>4852</v>
      </c>
      <c r="F270" s="617" t="s">
        <v>26</v>
      </c>
      <c r="G270" s="624"/>
      <c r="H270" s="669">
        <v>45220</v>
      </c>
      <c r="I270" s="617" t="s">
        <v>4867</v>
      </c>
      <c r="J270" s="617" t="s">
        <v>26</v>
      </c>
      <c r="K270" s="624"/>
      <c r="O270" s="616"/>
      <c r="P270" s="616"/>
      <c r="Q270" s="616"/>
      <c r="AA270" s="624"/>
      <c r="AB270" s="663">
        <v>39023002800</v>
      </c>
      <c r="AC270" s="663" t="s">
        <v>5200</v>
      </c>
      <c r="AD270" s="663" t="s">
        <v>4948</v>
      </c>
      <c r="AE270" s="663" t="s">
        <v>4928</v>
      </c>
      <c r="AF270" s="663" t="s">
        <v>4929</v>
      </c>
    </row>
    <row r="271" spans="1:32" s="608" customFormat="1" x14ac:dyDescent="0.25">
      <c r="A271" s="624"/>
      <c r="B271" s="617">
        <v>39023001700</v>
      </c>
      <c r="C271" s="617" t="s">
        <v>1939</v>
      </c>
      <c r="D271" s="617" t="s">
        <v>36</v>
      </c>
      <c r="E271" s="617" t="s">
        <v>4852</v>
      </c>
      <c r="F271" s="617" t="s">
        <v>24</v>
      </c>
      <c r="G271" s="624"/>
      <c r="H271" s="669">
        <v>43155</v>
      </c>
      <c r="I271" s="617" t="s">
        <v>4871</v>
      </c>
      <c r="J271" s="617" t="s">
        <v>26</v>
      </c>
      <c r="K271" s="624"/>
      <c r="O271" s="616"/>
      <c r="P271" s="616"/>
      <c r="Q271" s="616"/>
      <c r="AA271" s="624"/>
      <c r="AB271" s="663">
        <v>39023002901</v>
      </c>
      <c r="AC271" s="663" t="s">
        <v>5201</v>
      </c>
      <c r="AD271" s="663" t="s">
        <v>4927</v>
      </c>
      <c r="AE271" s="663" t="s">
        <v>4931</v>
      </c>
      <c r="AF271" s="663" t="s">
        <v>4946</v>
      </c>
    </row>
    <row r="272" spans="1:32" s="608" customFormat="1" x14ac:dyDescent="0.25">
      <c r="A272" s="624"/>
      <c r="B272" s="617">
        <v>39023001900</v>
      </c>
      <c r="C272" s="617" t="s">
        <v>1940</v>
      </c>
      <c r="D272" s="617" t="s">
        <v>36</v>
      </c>
      <c r="E272" s="617" t="s">
        <v>4852</v>
      </c>
      <c r="F272" s="617" t="s">
        <v>26</v>
      </c>
      <c r="G272" s="624"/>
      <c r="H272" s="669">
        <v>44304</v>
      </c>
      <c r="I272" s="617" t="s">
        <v>4868</v>
      </c>
      <c r="J272" s="617" t="s">
        <v>26</v>
      </c>
      <c r="K272" s="624"/>
      <c r="O272" s="616"/>
      <c r="P272" s="616"/>
      <c r="Q272" s="616"/>
      <c r="AA272" s="624"/>
      <c r="AB272" s="663">
        <v>39023002902</v>
      </c>
      <c r="AC272" s="663" t="s">
        <v>5202</v>
      </c>
      <c r="AD272" s="663" t="s">
        <v>4950</v>
      </c>
      <c r="AE272" s="663" t="s">
        <v>4931</v>
      </c>
      <c r="AF272" s="663" t="s">
        <v>4929</v>
      </c>
    </row>
    <row r="273" spans="1:32" s="608" customFormat="1" x14ac:dyDescent="0.25">
      <c r="A273" s="624"/>
      <c r="B273" s="617">
        <v>39023002000</v>
      </c>
      <c r="C273" s="617" t="s">
        <v>1941</v>
      </c>
      <c r="D273" s="617" t="s">
        <v>36</v>
      </c>
      <c r="E273" s="617" t="s">
        <v>4852</v>
      </c>
      <c r="F273" s="617" t="s">
        <v>26</v>
      </c>
      <c r="G273" s="624"/>
      <c r="H273" s="669">
        <v>43445</v>
      </c>
      <c r="I273" s="617" t="s">
        <v>1676</v>
      </c>
      <c r="J273" s="617" t="s">
        <v>26</v>
      </c>
      <c r="K273" s="624"/>
      <c r="O273" s="616"/>
      <c r="P273" s="616"/>
      <c r="Q273" s="616"/>
      <c r="AA273" s="624"/>
      <c r="AB273" s="663">
        <v>39023003001</v>
      </c>
      <c r="AC273" s="663" t="s">
        <v>5203</v>
      </c>
      <c r="AD273" s="663" t="s">
        <v>4941</v>
      </c>
      <c r="AE273" s="663" t="s">
        <v>4934</v>
      </c>
      <c r="AF273" s="663" t="s">
        <v>4929</v>
      </c>
    </row>
    <row r="274" spans="1:32" s="608" customFormat="1" x14ac:dyDescent="0.25">
      <c r="A274" s="624"/>
      <c r="B274" s="617">
        <v>39023002100</v>
      </c>
      <c r="C274" s="617" t="s">
        <v>1942</v>
      </c>
      <c r="D274" s="617" t="s">
        <v>36</v>
      </c>
      <c r="E274" s="617" t="s">
        <v>4852</v>
      </c>
      <c r="F274" s="617" t="s">
        <v>26</v>
      </c>
      <c r="G274" s="624"/>
      <c r="H274" s="669">
        <v>45312</v>
      </c>
      <c r="I274" s="617" t="s">
        <v>4870</v>
      </c>
      <c r="J274" s="617" t="s">
        <v>26</v>
      </c>
      <c r="K274" s="624"/>
      <c r="O274" s="616"/>
      <c r="P274" s="616"/>
      <c r="Q274" s="616"/>
      <c r="AA274" s="624"/>
      <c r="AB274" s="663">
        <v>39023003002</v>
      </c>
      <c r="AC274" s="663" t="s">
        <v>5204</v>
      </c>
      <c r="AD274" s="663" t="s">
        <v>4948</v>
      </c>
      <c r="AE274" s="663" t="s">
        <v>4934</v>
      </c>
      <c r="AF274" s="663" t="s">
        <v>4929</v>
      </c>
    </row>
    <row r="275" spans="1:32" s="608" customFormat="1" x14ac:dyDescent="0.25">
      <c r="A275" s="624"/>
      <c r="B275" s="617">
        <v>39023002200</v>
      </c>
      <c r="C275" s="617" t="s">
        <v>1943</v>
      </c>
      <c r="D275" s="617" t="s">
        <v>36</v>
      </c>
      <c r="E275" s="617" t="s">
        <v>4852</v>
      </c>
      <c r="F275" s="617" t="s">
        <v>26</v>
      </c>
      <c r="G275" s="624"/>
      <c r="H275" s="669">
        <v>45506</v>
      </c>
      <c r="I275" s="617" t="s">
        <v>4876</v>
      </c>
      <c r="J275" s="617" t="s">
        <v>26</v>
      </c>
      <c r="K275" s="624"/>
      <c r="O275" s="616"/>
      <c r="P275" s="616"/>
      <c r="Q275" s="616"/>
      <c r="AA275" s="624"/>
      <c r="AB275" s="663">
        <v>39023003101</v>
      </c>
      <c r="AC275" s="663" t="s">
        <v>5205</v>
      </c>
      <c r="AD275" s="663" t="s">
        <v>4950</v>
      </c>
      <c r="AE275" s="663" t="s">
        <v>4928</v>
      </c>
      <c r="AF275" s="663" t="s">
        <v>4929</v>
      </c>
    </row>
    <row r="276" spans="1:32" s="608" customFormat="1" x14ac:dyDescent="0.25">
      <c r="A276" s="624"/>
      <c r="B276" s="617">
        <v>39023002301</v>
      </c>
      <c r="C276" s="617" t="s">
        <v>1944</v>
      </c>
      <c r="D276" s="617" t="s">
        <v>36</v>
      </c>
      <c r="E276" s="617" t="s">
        <v>4852</v>
      </c>
      <c r="F276" s="617" t="s">
        <v>26</v>
      </c>
      <c r="G276" s="624"/>
      <c r="H276" s="669">
        <v>44813</v>
      </c>
      <c r="I276" s="617" t="s">
        <v>4877</v>
      </c>
      <c r="J276" s="617" t="s">
        <v>26</v>
      </c>
      <c r="K276" s="624"/>
      <c r="O276" s="616"/>
      <c r="P276" s="616"/>
      <c r="Q276" s="616"/>
      <c r="AA276" s="624"/>
      <c r="AB276" s="663">
        <v>39023003102</v>
      </c>
      <c r="AC276" s="663" t="s">
        <v>5206</v>
      </c>
      <c r="AD276" s="663" t="s">
        <v>4950</v>
      </c>
      <c r="AE276" s="663" t="s">
        <v>4931</v>
      </c>
      <c r="AF276" s="663" t="s">
        <v>4946</v>
      </c>
    </row>
    <row r="277" spans="1:32" s="608" customFormat="1" x14ac:dyDescent="0.25">
      <c r="A277" s="624"/>
      <c r="B277" s="617">
        <v>39023002403</v>
      </c>
      <c r="C277" s="617" t="s">
        <v>1945</v>
      </c>
      <c r="D277" s="617" t="s">
        <v>36</v>
      </c>
      <c r="E277" s="617" t="s">
        <v>4852</v>
      </c>
      <c r="F277" s="617" t="s">
        <v>26</v>
      </c>
      <c r="G277" s="624"/>
      <c r="H277" s="669">
        <v>44436</v>
      </c>
      <c r="I277" s="617" t="s">
        <v>4873</v>
      </c>
      <c r="J277" s="617" t="s">
        <v>26</v>
      </c>
      <c r="K277" s="624"/>
      <c r="O277" s="616"/>
      <c r="P277" s="616"/>
      <c r="Q277" s="616"/>
      <c r="AA277" s="624"/>
      <c r="AB277" s="663">
        <v>39023003200</v>
      </c>
      <c r="AC277" s="663" t="s">
        <v>5207</v>
      </c>
      <c r="AD277" s="663" t="s">
        <v>4941</v>
      </c>
      <c r="AE277" s="663" t="s">
        <v>4931</v>
      </c>
      <c r="AF277" s="663" t="s">
        <v>4929</v>
      </c>
    </row>
    <row r="278" spans="1:32" s="608" customFormat="1" x14ac:dyDescent="0.25">
      <c r="A278" s="624"/>
      <c r="B278" s="617">
        <v>39023002404</v>
      </c>
      <c r="C278" s="617" t="s">
        <v>1946</v>
      </c>
      <c r="D278" s="617" t="s">
        <v>36</v>
      </c>
      <c r="E278" s="617" t="s">
        <v>4852</v>
      </c>
      <c r="F278" s="617" t="s">
        <v>26</v>
      </c>
      <c r="G278" s="624"/>
      <c r="H278" s="669">
        <v>43739</v>
      </c>
      <c r="I278" s="617" t="s">
        <v>1677</v>
      </c>
      <c r="J278" s="617" t="s">
        <v>26</v>
      </c>
      <c r="K278" s="624"/>
      <c r="O278" s="616"/>
      <c r="P278" s="616"/>
      <c r="Q278" s="616"/>
      <c r="AA278" s="624"/>
      <c r="AB278" s="663">
        <v>39023003301</v>
      </c>
      <c r="AC278" s="663" t="s">
        <v>5208</v>
      </c>
      <c r="AD278" s="663" t="s">
        <v>4950</v>
      </c>
      <c r="AE278" s="663" t="s">
        <v>4942</v>
      </c>
      <c r="AF278" s="663" t="s">
        <v>4929</v>
      </c>
    </row>
    <row r="279" spans="1:32" s="608" customFormat="1" x14ac:dyDescent="0.25">
      <c r="A279" s="624"/>
      <c r="B279" s="617">
        <v>39023002501</v>
      </c>
      <c r="C279" s="617" t="s">
        <v>1947</v>
      </c>
      <c r="D279" s="617" t="s">
        <v>36</v>
      </c>
      <c r="E279" s="617" t="s">
        <v>4852</v>
      </c>
      <c r="F279" s="617" t="s">
        <v>26</v>
      </c>
      <c r="G279" s="624"/>
      <c r="H279" s="669">
        <v>43619</v>
      </c>
      <c r="I279" s="617" t="s">
        <v>4872</v>
      </c>
      <c r="J279" s="617" t="s">
        <v>26</v>
      </c>
      <c r="K279" s="624"/>
      <c r="O279" s="616"/>
      <c r="P279" s="616"/>
      <c r="Q279" s="616"/>
      <c r="AA279" s="624"/>
      <c r="AB279" s="663">
        <v>39023003302</v>
      </c>
      <c r="AC279" s="663" t="s">
        <v>5209</v>
      </c>
      <c r="AD279" s="663" t="s">
        <v>4948</v>
      </c>
      <c r="AE279" s="663" t="s">
        <v>4942</v>
      </c>
      <c r="AF279" s="663" t="s">
        <v>4929</v>
      </c>
    </row>
    <row r="280" spans="1:32" s="608" customFormat="1" x14ac:dyDescent="0.25">
      <c r="A280" s="624"/>
      <c r="B280" s="617">
        <v>39023002502</v>
      </c>
      <c r="C280" s="617" t="s">
        <v>1948</v>
      </c>
      <c r="D280" s="617" t="s">
        <v>36</v>
      </c>
      <c r="E280" s="617" t="s">
        <v>4852</v>
      </c>
      <c r="F280" s="617" t="s">
        <v>26</v>
      </c>
      <c r="G280" s="624"/>
      <c r="H280" s="669">
        <v>43504</v>
      </c>
      <c r="I280" s="617" t="s">
        <v>4872</v>
      </c>
      <c r="J280" s="617" t="s">
        <v>26</v>
      </c>
      <c r="K280" s="624"/>
      <c r="O280" s="616"/>
      <c r="P280" s="616"/>
      <c r="Q280" s="616"/>
      <c r="AA280" s="624"/>
      <c r="AB280" s="663">
        <v>39023003400</v>
      </c>
      <c r="AC280" s="663" t="s">
        <v>5210</v>
      </c>
      <c r="AD280" s="663" t="s">
        <v>4948</v>
      </c>
      <c r="AE280" s="663" t="s">
        <v>4934</v>
      </c>
      <c r="AF280" s="663" t="s">
        <v>4962</v>
      </c>
    </row>
    <row r="281" spans="1:32" s="608" customFormat="1" x14ac:dyDescent="0.25">
      <c r="A281" s="624"/>
      <c r="B281" s="617">
        <v>39023002601</v>
      </c>
      <c r="C281" s="617" t="s">
        <v>1949</v>
      </c>
      <c r="D281" s="617" t="s">
        <v>36</v>
      </c>
      <c r="E281" s="617" t="s">
        <v>4852</v>
      </c>
      <c r="F281" s="617" t="s">
        <v>26</v>
      </c>
      <c r="G281" s="624"/>
      <c r="H281" s="669">
        <v>44614</v>
      </c>
      <c r="I281" s="617" t="s">
        <v>4874</v>
      </c>
      <c r="J281" s="617" t="s">
        <v>26</v>
      </c>
      <c r="K281" s="624"/>
      <c r="O281" s="616"/>
      <c r="P281" s="616"/>
      <c r="Q281" s="616"/>
      <c r="AA281" s="624"/>
      <c r="AB281" s="663">
        <v>39023003700</v>
      </c>
      <c r="AC281" s="663" t="s">
        <v>5211</v>
      </c>
      <c r="AD281" s="663" t="s">
        <v>4938</v>
      </c>
      <c r="AE281" s="663" t="s">
        <v>4928</v>
      </c>
      <c r="AF281" s="663" t="s">
        <v>4962</v>
      </c>
    </row>
    <row r="282" spans="1:32" s="608" customFormat="1" x14ac:dyDescent="0.25">
      <c r="A282" s="624"/>
      <c r="B282" s="617">
        <v>39023002602</v>
      </c>
      <c r="C282" s="617" t="s">
        <v>1950</v>
      </c>
      <c r="D282" s="617" t="s">
        <v>36</v>
      </c>
      <c r="E282" s="617" t="s">
        <v>4852</v>
      </c>
      <c r="F282" s="617" t="s">
        <v>26</v>
      </c>
      <c r="G282" s="624"/>
      <c r="H282" s="669">
        <v>44670</v>
      </c>
      <c r="I282" s="617" t="s">
        <v>4874</v>
      </c>
      <c r="J282" s="617" t="s">
        <v>26</v>
      </c>
      <c r="K282" s="624"/>
      <c r="O282" s="616"/>
      <c r="P282" s="616"/>
      <c r="Q282" s="616"/>
      <c r="AA282" s="624"/>
      <c r="AB282" s="663">
        <v>39025040101</v>
      </c>
      <c r="AC282" s="663" t="s">
        <v>5212</v>
      </c>
      <c r="AD282" s="663" t="s">
        <v>4950</v>
      </c>
      <c r="AE282" s="663" t="s">
        <v>4939</v>
      </c>
      <c r="AF282" s="663" t="s">
        <v>4929</v>
      </c>
    </row>
    <row r="283" spans="1:32" s="608" customFormat="1" x14ac:dyDescent="0.25">
      <c r="A283" s="624"/>
      <c r="B283" s="617">
        <v>39023002605</v>
      </c>
      <c r="C283" s="617" t="s">
        <v>1951</v>
      </c>
      <c r="D283" s="617" t="s">
        <v>36</v>
      </c>
      <c r="E283" s="617" t="s">
        <v>4852</v>
      </c>
      <c r="F283" s="617" t="s">
        <v>26</v>
      </c>
      <c r="G283" s="624"/>
      <c r="H283" s="669">
        <v>44107</v>
      </c>
      <c r="I283" s="617" t="s">
        <v>4869</v>
      </c>
      <c r="J283" s="617" t="s">
        <v>26</v>
      </c>
      <c r="K283" s="624"/>
      <c r="O283" s="616"/>
      <c r="P283" s="616"/>
      <c r="Q283" s="616"/>
      <c r="AA283" s="624"/>
      <c r="AB283" s="663">
        <v>39025040102</v>
      </c>
      <c r="AC283" s="663" t="s">
        <v>5213</v>
      </c>
      <c r="AD283" s="663" t="s">
        <v>4927</v>
      </c>
      <c r="AE283" s="663" t="s">
        <v>4928</v>
      </c>
      <c r="AF283" s="663" t="s">
        <v>4929</v>
      </c>
    </row>
    <row r="284" spans="1:32" s="608" customFormat="1" x14ac:dyDescent="0.25">
      <c r="A284" s="624"/>
      <c r="B284" s="617">
        <v>39023002607</v>
      </c>
      <c r="C284" s="617" t="s">
        <v>1952</v>
      </c>
      <c r="D284" s="617" t="s">
        <v>36</v>
      </c>
      <c r="E284" s="617" t="s">
        <v>4852</v>
      </c>
      <c r="F284" s="617" t="s">
        <v>26</v>
      </c>
      <c r="G284" s="624"/>
      <c r="H284" s="669">
        <v>44021</v>
      </c>
      <c r="I284" s="617" t="s">
        <v>4869</v>
      </c>
      <c r="J284" s="617" t="s">
        <v>26</v>
      </c>
      <c r="K284" s="624"/>
      <c r="O284" s="616"/>
      <c r="P284" s="616"/>
      <c r="Q284" s="616"/>
      <c r="AA284" s="624"/>
      <c r="AB284" s="663">
        <v>39025040202</v>
      </c>
      <c r="AC284" s="663" t="s">
        <v>5214</v>
      </c>
      <c r="AD284" s="663" t="s">
        <v>4950</v>
      </c>
      <c r="AE284" s="663" t="s">
        <v>4931</v>
      </c>
      <c r="AF284" s="663" t="s">
        <v>4929</v>
      </c>
    </row>
    <row r="285" spans="1:32" s="608" customFormat="1" x14ac:dyDescent="0.25">
      <c r="A285" s="624"/>
      <c r="B285" s="617">
        <v>39023002608</v>
      </c>
      <c r="C285" s="617" t="s">
        <v>1953</v>
      </c>
      <c r="D285" s="617" t="s">
        <v>36</v>
      </c>
      <c r="E285" s="617" t="s">
        <v>4852</v>
      </c>
      <c r="F285" s="617" t="s">
        <v>26</v>
      </c>
      <c r="G285" s="624"/>
      <c r="H285" s="669">
        <v>43068</v>
      </c>
      <c r="I285" s="617" t="s">
        <v>4871</v>
      </c>
      <c r="J285" s="617" t="s">
        <v>26</v>
      </c>
      <c r="K285" s="624"/>
      <c r="O285" s="616"/>
      <c r="P285" s="616"/>
      <c r="Q285" s="616"/>
      <c r="AA285" s="624"/>
      <c r="AB285" s="663">
        <v>39025040203</v>
      </c>
      <c r="AC285" s="663" t="s">
        <v>5215</v>
      </c>
      <c r="AD285" s="663" t="s">
        <v>4941</v>
      </c>
      <c r="AE285" s="663" t="s">
        <v>4934</v>
      </c>
      <c r="AF285" s="663" t="s">
        <v>4929</v>
      </c>
    </row>
    <row r="286" spans="1:32" s="608" customFormat="1" x14ac:dyDescent="0.25">
      <c r="A286" s="624"/>
      <c r="B286" s="617">
        <v>39023002701</v>
      </c>
      <c r="C286" s="617" t="s">
        <v>1954</v>
      </c>
      <c r="D286" s="617" t="s">
        <v>36</v>
      </c>
      <c r="E286" s="617" t="s">
        <v>4852</v>
      </c>
      <c r="F286" s="617" t="s">
        <v>26</v>
      </c>
      <c r="G286" s="624"/>
      <c r="H286" s="669">
        <v>43231</v>
      </c>
      <c r="I286" s="617" t="s">
        <v>4871</v>
      </c>
      <c r="J286" s="617" t="s">
        <v>26</v>
      </c>
      <c r="K286" s="624"/>
      <c r="O286" s="616"/>
      <c r="P286" s="616"/>
      <c r="Q286" s="616"/>
      <c r="AA286" s="624"/>
      <c r="AB286" s="663">
        <v>39025040204</v>
      </c>
      <c r="AC286" s="663" t="s">
        <v>5216</v>
      </c>
      <c r="AD286" s="663" t="s">
        <v>4950</v>
      </c>
      <c r="AE286" s="663" t="s">
        <v>4928</v>
      </c>
      <c r="AF286" s="663" t="s">
        <v>4929</v>
      </c>
    </row>
    <row r="287" spans="1:32" s="608" customFormat="1" x14ac:dyDescent="0.25">
      <c r="A287" s="624"/>
      <c r="B287" s="617">
        <v>39023002702</v>
      </c>
      <c r="C287" s="617" t="s">
        <v>1955</v>
      </c>
      <c r="D287" s="617" t="s">
        <v>36</v>
      </c>
      <c r="E287" s="617" t="s">
        <v>4852</v>
      </c>
      <c r="F287" s="617" t="s">
        <v>26</v>
      </c>
      <c r="G287" s="624"/>
      <c r="H287" s="669">
        <v>43105</v>
      </c>
      <c r="I287" s="617" t="s">
        <v>4871</v>
      </c>
      <c r="J287" s="617" t="s">
        <v>26</v>
      </c>
      <c r="K287" s="624"/>
      <c r="O287" s="616"/>
      <c r="P287" s="616"/>
      <c r="Q287" s="616"/>
      <c r="AA287" s="624"/>
      <c r="AB287" s="663">
        <v>39025040301</v>
      </c>
      <c r="AC287" s="663" t="s">
        <v>5217</v>
      </c>
      <c r="AD287" s="663" t="s">
        <v>4938</v>
      </c>
      <c r="AE287" s="663" t="s">
        <v>5006</v>
      </c>
      <c r="AF287" s="663" t="s">
        <v>4946</v>
      </c>
    </row>
    <row r="288" spans="1:32" s="608" customFormat="1" x14ac:dyDescent="0.25">
      <c r="A288" s="624"/>
      <c r="B288" s="617">
        <v>39023002800</v>
      </c>
      <c r="C288" s="617" t="s">
        <v>1956</v>
      </c>
      <c r="D288" s="617" t="s">
        <v>36</v>
      </c>
      <c r="E288" s="617" t="s">
        <v>4852</v>
      </c>
      <c r="F288" s="617" t="s">
        <v>26</v>
      </c>
      <c r="G288" s="624"/>
      <c r="H288" s="669">
        <v>43046</v>
      </c>
      <c r="I288" s="617" t="s">
        <v>4871</v>
      </c>
      <c r="J288" s="617" t="s">
        <v>26</v>
      </c>
      <c r="K288" s="624"/>
      <c r="O288" s="616"/>
      <c r="P288" s="616"/>
      <c r="Q288" s="616"/>
      <c r="AA288" s="624"/>
      <c r="AB288" s="663">
        <v>39025040302</v>
      </c>
      <c r="AC288" s="663" t="s">
        <v>5218</v>
      </c>
      <c r="AD288" s="663" t="s">
        <v>4938</v>
      </c>
      <c r="AE288" s="663" t="s">
        <v>4939</v>
      </c>
      <c r="AF288" s="663" t="s">
        <v>4946</v>
      </c>
    </row>
    <row r="289" spans="1:32" s="608" customFormat="1" x14ac:dyDescent="0.25">
      <c r="A289" s="624"/>
      <c r="B289" s="617">
        <v>39023002901</v>
      </c>
      <c r="C289" s="617" t="s">
        <v>1957</v>
      </c>
      <c r="D289" s="617" t="s">
        <v>36</v>
      </c>
      <c r="E289" s="617" t="s">
        <v>4852</v>
      </c>
      <c r="F289" s="617" t="s">
        <v>26</v>
      </c>
      <c r="G289" s="624"/>
      <c r="H289" s="669">
        <v>44313</v>
      </c>
      <c r="I289" s="617" t="s">
        <v>4868</v>
      </c>
      <c r="J289" s="617" t="s">
        <v>26</v>
      </c>
      <c r="K289" s="624"/>
      <c r="O289" s="616"/>
      <c r="P289" s="616"/>
      <c r="Q289" s="616"/>
      <c r="AA289" s="624"/>
      <c r="AB289" s="663">
        <v>39025040303</v>
      </c>
      <c r="AC289" s="663" t="s">
        <v>5219</v>
      </c>
      <c r="AD289" s="663" t="s">
        <v>4941</v>
      </c>
      <c r="AE289" s="663" t="s">
        <v>4942</v>
      </c>
      <c r="AF289" s="663" t="s">
        <v>4946</v>
      </c>
    </row>
    <row r="290" spans="1:32" s="608" customFormat="1" x14ac:dyDescent="0.25">
      <c r="A290" s="624"/>
      <c r="B290" s="617">
        <v>39023002902</v>
      </c>
      <c r="C290" s="617" t="s">
        <v>1958</v>
      </c>
      <c r="D290" s="617" t="s">
        <v>36</v>
      </c>
      <c r="E290" s="617" t="s">
        <v>4852</v>
      </c>
      <c r="F290" s="617" t="s">
        <v>26</v>
      </c>
      <c r="G290" s="624"/>
      <c r="H290" s="669">
        <v>44260</v>
      </c>
      <c r="I290" s="617" t="s">
        <v>4868</v>
      </c>
      <c r="J290" s="617" t="s">
        <v>26</v>
      </c>
      <c r="K290" s="624"/>
      <c r="O290" s="616"/>
      <c r="P290" s="616"/>
      <c r="Q290" s="616"/>
      <c r="AA290" s="624"/>
      <c r="AB290" s="663">
        <v>39025040401</v>
      </c>
      <c r="AC290" s="663" t="s">
        <v>5220</v>
      </c>
      <c r="AD290" s="663" t="s">
        <v>4941</v>
      </c>
      <c r="AE290" s="663" t="s">
        <v>4928</v>
      </c>
      <c r="AF290" s="663" t="s">
        <v>4946</v>
      </c>
    </row>
    <row r="291" spans="1:32" s="608" customFormat="1" x14ac:dyDescent="0.25">
      <c r="A291" s="624"/>
      <c r="B291" s="617">
        <v>39023003001</v>
      </c>
      <c r="C291" s="617" t="s">
        <v>1959</v>
      </c>
      <c r="D291" s="617" t="s">
        <v>36</v>
      </c>
      <c r="E291" s="617" t="s">
        <v>4852</v>
      </c>
      <c r="F291" s="617" t="s">
        <v>26</v>
      </c>
      <c r="G291" s="624"/>
      <c r="H291" s="669">
        <v>45361</v>
      </c>
      <c r="I291" s="617" t="s">
        <v>4870</v>
      </c>
      <c r="J291" s="617" t="s">
        <v>26</v>
      </c>
      <c r="K291" s="624"/>
      <c r="O291" s="616"/>
      <c r="P291" s="616"/>
      <c r="Q291" s="616"/>
      <c r="AA291" s="624"/>
      <c r="AB291" s="663">
        <v>39025040403</v>
      </c>
      <c r="AC291" s="663" t="s">
        <v>5221</v>
      </c>
      <c r="AD291" s="663" t="s">
        <v>4950</v>
      </c>
      <c r="AE291" s="663" t="s">
        <v>4934</v>
      </c>
      <c r="AF291" s="663" t="s">
        <v>4946</v>
      </c>
    </row>
    <row r="292" spans="1:32" s="608" customFormat="1" x14ac:dyDescent="0.25">
      <c r="A292" s="624"/>
      <c r="B292" s="617">
        <v>39023003002</v>
      </c>
      <c r="C292" s="617" t="s">
        <v>1960</v>
      </c>
      <c r="D292" s="617" t="s">
        <v>36</v>
      </c>
      <c r="E292" s="617" t="s">
        <v>4852</v>
      </c>
      <c r="F292" s="617" t="s">
        <v>26</v>
      </c>
      <c r="G292" s="624"/>
      <c r="H292" s="669">
        <v>43541</v>
      </c>
      <c r="I292" s="617" t="s">
        <v>4872</v>
      </c>
      <c r="J292" s="617" t="s">
        <v>26</v>
      </c>
      <c r="K292" s="624"/>
      <c r="O292" s="616"/>
      <c r="P292" s="616"/>
      <c r="Q292" s="616"/>
      <c r="AA292" s="624"/>
      <c r="AB292" s="663">
        <v>39025040404</v>
      </c>
      <c r="AC292" s="663" t="s">
        <v>5222</v>
      </c>
      <c r="AD292" s="663" t="s">
        <v>4938</v>
      </c>
      <c r="AE292" s="663" t="s">
        <v>4934</v>
      </c>
      <c r="AF292" s="663" t="s">
        <v>4946</v>
      </c>
    </row>
    <row r="293" spans="1:32" s="608" customFormat="1" x14ac:dyDescent="0.25">
      <c r="A293" s="624"/>
      <c r="B293" s="617">
        <v>39023003101</v>
      </c>
      <c r="C293" s="617" t="s">
        <v>1961</v>
      </c>
      <c r="D293" s="617" t="s">
        <v>36</v>
      </c>
      <c r="E293" s="617" t="s">
        <v>4852</v>
      </c>
      <c r="F293" s="617" t="s">
        <v>26</v>
      </c>
      <c r="G293" s="624"/>
      <c r="H293" s="669">
        <v>45807</v>
      </c>
      <c r="I293" s="617" t="s">
        <v>4875</v>
      </c>
      <c r="J293" s="617" t="s">
        <v>26</v>
      </c>
      <c r="K293" s="624"/>
      <c r="O293" s="616"/>
      <c r="P293" s="616"/>
      <c r="Q293" s="616"/>
      <c r="AA293" s="624"/>
      <c r="AB293" s="663">
        <v>39025040405</v>
      </c>
      <c r="AC293" s="663" t="s">
        <v>5223</v>
      </c>
      <c r="AD293" s="663" t="s">
        <v>4941</v>
      </c>
      <c r="AE293" s="663" t="s">
        <v>4942</v>
      </c>
      <c r="AF293" s="663" t="s">
        <v>4946</v>
      </c>
    </row>
    <row r="294" spans="1:32" s="608" customFormat="1" x14ac:dyDescent="0.25">
      <c r="A294" s="624"/>
      <c r="B294" s="617">
        <v>39023003102</v>
      </c>
      <c r="C294" s="617" t="s">
        <v>1962</v>
      </c>
      <c r="D294" s="617" t="s">
        <v>36</v>
      </c>
      <c r="E294" s="617" t="s">
        <v>4852</v>
      </c>
      <c r="F294" s="617" t="s">
        <v>26</v>
      </c>
      <c r="G294" s="624"/>
      <c r="H294" s="669">
        <v>44509</v>
      </c>
      <c r="I294" s="617" t="s">
        <v>4873</v>
      </c>
      <c r="J294" s="617" t="s">
        <v>26</v>
      </c>
      <c r="K294" s="624"/>
      <c r="O294" s="616"/>
      <c r="P294" s="616"/>
      <c r="Q294" s="616"/>
      <c r="AA294" s="624"/>
      <c r="AB294" s="663">
        <v>39025040500</v>
      </c>
      <c r="AC294" s="663" t="s">
        <v>5224</v>
      </c>
      <c r="AD294" s="663" t="s">
        <v>4948</v>
      </c>
      <c r="AE294" s="663" t="s">
        <v>4939</v>
      </c>
      <c r="AF294" s="663" t="s">
        <v>4946</v>
      </c>
    </row>
    <row r="295" spans="1:32" s="608" customFormat="1" x14ac:dyDescent="0.25">
      <c r="A295" s="624"/>
      <c r="B295" s="617">
        <v>39023003200</v>
      </c>
      <c r="C295" s="617" t="s">
        <v>1963</v>
      </c>
      <c r="D295" s="617" t="s">
        <v>36</v>
      </c>
      <c r="E295" s="617" t="s">
        <v>4852</v>
      </c>
      <c r="F295" s="617" t="s">
        <v>26</v>
      </c>
      <c r="G295" s="624"/>
      <c r="H295" s="669">
        <v>44502</v>
      </c>
      <c r="I295" s="617" t="s">
        <v>4873</v>
      </c>
      <c r="J295" s="617" t="s">
        <v>26</v>
      </c>
      <c r="K295" s="624"/>
      <c r="O295" s="616"/>
      <c r="P295" s="616"/>
      <c r="Q295" s="616"/>
      <c r="AA295" s="624"/>
      <c r="AB295" s="663">
        <v>39025040600</v>
      </c>
      <c r="AC295" s="663" t="s">
        <v>5225</v>
      </c>
      <c r="AD295" s="663" t="s">
        <v>4948</v>
      </c>
      <c r="AE295" s="663" t="s">
        <v>4942</v>
      </c>
      <c r="AF295" s="663" t="s">
        <v>4946</v>
      </c>
    </row>
    <row r="296" spans="1:32" s="608" customFormat="1" x14ac:dyDescent="0.25">
      <c r="A296" s="624"/>
      <c r="B296" s="617">
        <v>39023003301</v>
      </c>
      <c r="C296" s="617" t="s">
        <v>1964</v>
      </c>
      <c r="D296" s="617" t="s">
        <v>36</v>
      </c>
      <c r="E296" s="617" t="s">
        <v>4852</v>
      </c>
      <c r="F296" s="617" t="s">
        <v>26</v>
      </c>
      <c r="G296" s="624"/>
      <c r="H296" s="669">
        <v>44822</v>
      </c>
      <c r="I296" s="617" t="s">
        <v>4877</v>
      </c>
      <c r="J296" s="617" t="s">
        <v>26</v>
      </c>
      <c r="K296" s="624"/>
      <c r="O296" s="616"/>
      <c r="P296" s="616"/>
      <c r="Q296" s="616"/>
      <c r="AA296" s="624"/>
      <c r="AB296" s="663">
        <v>39025040701</v>
      </c>
      <c r="AC296" s="663" t="s">
        <v>5226</v>
      </c>
      <c r="AD296" s="663" t="s">
        <v>4948</v>
      </c>
      <c r="AE296" s="663" t="s">
        <v>4939</v>
      </c>
      <c r="AF296" s="663" t="s">
        <v>4946</v>
      </c>
    </row>
    <row r="297" spans="1:32" s="608" customFormat="1" x14ac:dyDescent="0.25">
      <c r="A297" s="624"/>
      <c r="B297" s="617">
        <v>39023003302</v>
      </c>
      <c r="C297" s="617" t="s">
        <v>1965</v>
      </c>
      <c r="D297" s="617" t="s">
        <v>36</v>
      </c>
      <c r="E297" s="617" t="s">
        <v>4852</v>
      </c>
      <c r="F297" s="617" t="s">
        <v>26</v>
      </c>
      <c r="G297" s="624"/>
      <c r="H297" s="669">
        <v>45120</v>
      </c>
      <c r="I297" s="617" t="s">
        <v>1674</v>
      </c>
      <c r="J297" s="617" t="s">
        <v>26</v>
      </c>
      <c r="K297" s="624"/>
      <c r="O297" s="616"/>
      <c r="P297" s="616"/>
      <c r="Q297" s="616"/>
      <c r="AA297" s="624"/>
      <c r="AB297" s="663">
        <v>39025040702</v>
      </c>
      <c r="AC297" s="663" t="s">
        <v>5227</v>
      </c>
      <c r="AD297" s="663" t="s">
        <v>4950</v>
      </c>
      <c r="AE297" s="663" t="s">
        <v>4931</v>
      </c>
      <c r="AF297" s="663" t="s">
        <v>4946</v>
      </c>
    </row>
    <row r="298" spans="1:32" s="608" customFormat="1" x14ac:dyDescent="0.25">
      <c r="A298" s="624"/>
      <c r="B298" s="617">
        <v>39023003400</v>
      </c>
      <c r="C298" s="617" t="s">
        <v>1966</v>
      </c>
      <c r="D298" s="617" t="s">
        <v>36</v>
      </c>
      <c r="E298" s="617" t="s">
        <v>4852</v>
      </c>
      <c r="F298" s="617" t="s">
        <v>24</v>
      </c>
      <c r="G298" s="624"/>
      <c r="H298" s="669">
        <v>45809</v>
      </c>
      <c r="I298" s="617" t="s">
        <v>4875</v>
      </c>
      <c r="J298" s="617" t="s">
        <v>26</v>
      </c>
      <c r="K298" s="624"/>
      <c r="O298" s="616"/>
      <c r="P298" s="616"/>
      <c r="Q298" s="616"/>
      <c r="AA298" s="624"/>
      <c r="AB298" s="663">
        <v>39025040800</v>
      </c>
      <c r="AC298" s="663" t="s">
        <v>5228</v>
      </c>
      <c r="AD298" s="663" t="s">
        <v>4950</v>
      </c>
      <c r="AE298" s="663" t="s">
        <v>4934</v>
      </c>
      <c r="AF298" s="663" t="s">
        <v>4929</v>
      </c>
    </row>
    <row r="299" spans="1:32" s="608" customFormat="1" x14ac:dyDescent="0.25">
      <c r="A299" s="624"/>
      <c r="B299" s="617">
        <v>39023003700</v>
      </c>
      <c r="C299" s="617" t="s">
        <v>1967</v>
      </c>
      <c r="D299" s="617" t="s">
        <v>36</v>
      </c>
      <c r="E299" s="617" t="s">
        <v>4852</v>
      </c>
      <c r="F299" s="617" t="s">
        <v>26</v>
      </c>
      <c r="G299" s="624"/>
      <c r="H299" s="669">
        <v>45244</v>
      </c>
      <c r="I299" s="617" t="s">
        <v>4867</v>
      </c>
      <c r="J299" s="617" t="s">
        <v>26</v>
      </c>
      <c r="K299" s="624"/>
      <c r="O299" s="616"/>
      <c r="P299" s="616"/>
      <c r="Q299" s="616"/>
      <c r="AA299" s="624"/>
      <c r="AB299" s="663">
        <v>39025040900</v>
      </c>
      <c r="AC299" s="663" t="s">
        <v>5229</v>
      </c>
      <c r="AD299" s="663" t="s">
        <v>4948</v>
      </c>
      <c r="AE299" s="663" t="s">
        <v>4939</v>
      </c>
      <c r="AF299" s="663" t="s">
        <v>4929</v>
      </c>
    </row>
    <row r="300" spans="1:32" s="608" customFormat="1" x14ac:dyDescent="0.25">
      <c r="A300" s="624"/>
      <c r="B300" s="617">
        <v>39025040101</v>
      </c>
      <c r="C300" s="617" t="s">
        <v>1968</v>
      </c>
      <c r="D300" s="617" t="s">
        <v>37</v>
      </c>
      <c r="E300" s="617" t="s">
        <v>4850</v>
      </c>
      <c r="F300" s="617" t="s">
        <v>26</v>
      </c>
      <c r="G300" s="624"/>
      <c r="H300" s="669">
        <v>41080</v>
      </c>
      <c r="I300" s="617" t="s">
        <v>4867</v>
      </c>
      <c r="J300" s="617" t="s">
        <v>26</v>
      </c>
      <c r="K300" s="624"/>
      <c r="O300" s="616"/>
      <c r="P300" s="616"/>
      <c r="Q300" s="616"/>
      <c r="AA300" s="624"/>
      <c r="AB300" s="663">
        <v>39025041000</v>
      </c>
      <c r="AC300" s="663" t="s">
        <v>5230</v>
      </c>
      <c r="AD300" s="663" t="s">
        <v>4938</v>
      </c>
      <c r="AE300" s="663" t="s">
        <v>4939</v>
      </c>
      <c r="AF300" s="663" t="s">
        <v>4929</v>
      </c>
    </row>
    <row r="301" spans="1:32" s="608" customFormat="1" x14ac:dyDescent="0.25">
      <c r="A301" s="624"/>
      <c r="B301" s="617">
        <v>39025040102</v>
      </c>
      <c r="C301" s="617" t="s">
        <v>1969</v>
      </c>
      <c r="D301" s="617" t="s">
        <v>37</v>
      </c>
      <c r="E301" s="617" t="s">
        <v>4850</v>
      </c>
      <c r="F301" s="617" t="s">
        <v>26</v>
      </c>
      <c r="G301" s="624"/>
      <c r="H301" s="669">
        <v>45062</v>
      </c>
      <c r="I301" s="617" t="s">
        <v>4867</v>
      </c>
      <c r="J301" s="617" t="s">
        <v>26</v>
      </c>
      <c r="K301" s="624"/>
      <c r="O301" s="616"/>
      <c r="P301" s="616"/>
      <c r="Q301" s="616"/>
      <c r="AA301" s="624"/>
      <c r="AB301" s="663">
        <v>39025041101</v>
      </c>
      <c r="AC301" s="663" t="s">
        <v>5231</v>
      </c>
      <c r="AD301" s="663" t="s">
        <v>4950</v>
      </c>
      <c r="AE301" s="663" t="s">
        <v>4928</v>
      </c>
      <c r="AF301" s="663" t="s">
        <v>4946</v>
      </c>
    </row>
    <row r="302" spans="1:32" s="608" customFormat="1" x14ac:dyDescent="0.25">
      <c r="A302" s="624"/>
      <c r="B302" s="617">
        <v>39025040202</v>
      </c>
      <c r="C302" s="617" t="s">
        <v>1970</v>
      </c>
      <c r="D302" s="617" t="s">
        <v>37</v>
      </c>
      <c r="E302" s="617" t="s">
        <v>4850</v>
      </c>
      <c r="F302" s="617" t="s">
        <v>26</v>
      </c>
      <c r="G302" s="624"/>
      <c r="H302" s="669">
        <v>43135</v>
      </c>
      <c r="I302" s="617" t="s">
        <v>1675</v>
      </c>
      <c r="J302" s="617" t="s">
        <v>26</v>
      </c>
      <c r="K302" s="624"/>
      <c r="O302" s="616"/>
      <c r="P302" s="616"/>
      <c r="Q302" s="616"/>
      <c r="AA302" s="624"/>
      <c r="AB302" s="663">
        <v>39025041102</v>
      </c>
      <c r="AC302" s="663" t="s">
        <v>5232</v>
      </c>
      <c r="AD302" s="663" t="s">
        <v>4927</v>
      </c>
      <c r="AE302" s="663" t="s">
        <v>4939</v>
      </c>
      <c r="AF302" s="663" t="s">
        <v>4946</v>
      </c>
    </row>
    <row r="303" spans="1:32" s="608" customFormat="1" x14ac:dyDescent="0.25">
      <c r="A303" s="624"/>
      <c r="B303" s="617">
        <v>39025040203</v>
      </c>
      <c r="C303" s="617" t="s">
        <v>1971</v>
      </c>
      <c r="D303" s="617" t="s">
        <v>37</v>
      </c>
      <c r="E303" s="617" t="s">
        <v>4850</v>
      </c>
      <c r="F303" s="617" t="s">
        <v>26</v>
      </c>
      <c r="G303" s="624"/>
      <c r="H303" s="669">
        <v>43115</v>
      </c>
      <c r="I303" s="617" t="s">
        <v>4871</v>
      </c>
      <c r="J303" s="617" t="s">
        <v>26</v>
      </c>
      <c r="K303" s="624"/>
      <c r="O303" s="616"/>
      <c r="P303" s="616"/>
      <c r="Q303" s="616"/>
      <c r="AA303" s="624"/>
      <c r="AB303" s="663">
        <v>39025041103</v>
      </c>
      <c r="AC303" s="663" t="s">
        <v>5233</v>
      </c>
      <c r="AD303" s="663" t="s">
        <v>4950</v>
      </c>
      <c r="AE303" s="663" t="s">
        <v>4942</v>
      </c>
      <c r="AF303" s="663" t="s">
        <v>4946</v>
      </c>
    </row>
    <row r="304" spans="1:32" s="608" customFormat="1" x14ac:dyDescent="0.25">
      <c r="A304" s="624"/>
      <c r="B304" s="617">
        <v>39025040205</v>
      </c>
      <c r="C304" s="617" t="s">
        <v>1972</v>
      </c>
      <c r="D304" s="617" t="s">
        <v>37</v>
      </c>
      <c r="E304" s="617" t="s">
        <v>4850</v>
      </c>
      <c r="F304" s="617" t="s">
        <v>26</v>
      </c>
      <c r="G304" s="624"/>
      <c r="H304" s="669">
        <v>43109</v>
      </c>
      <c r="I304" s="617" t="s">
        <v>4871</v>
      </c>
      <c r="J304" s="617" t="s">
        <v>26</v>
      </c>
      <c r="K304" s="624"/>
      <c r="O304" s="616"/>
      <c r="P304" s="616"/>
      <c r="Q304" s="616"/>
      <c r="AA304" s="624"/>
      <c r="AB304" s="663">
        <v>39025041200</v>
      </c>
      <c r="AC304" s="663" t="s">
        <v>5234</v>
      </c>
      <c r="AD304" s="663" t="s">
        <v>4950</v>
      </c>
      <c r="AE304" s="663" t="s">
        <v>4928</v>
      </c>
      <c r="AF304" s="663" t="s">
        <v>4946</v>
      </c>
    </row>
    <row r="305" spans="1:32" s="608" customFormat="1" x14ac:dyDescent="0.25">
      <c r="A305" s="624"/>
      <c r="B305" s="617">
        <v>39025040206</v>
      </c>
      <c r="C305" s="617" t="s">
        <v>1973</v>
      </c>
      <c r="D305" s="617" t="s">
        <v>37</v>
      </c>
      <c r="E305" s="617" t="s">
        <v>4850</v>
      </c>
      <c r="F305" s="617" t="s">
        <v>26</v>
      </c>
      <c r="G305" s="624"/>
      <c r="H305" s="669">
        <v>44095</v>
      </c>
      <c r="I305" s="617" t="s">
        <v>4869</v>
      </c>
      <c r="J305" s="617" t="s">
        <v>26</v>
      </c>
      <c r="K305" s="624"/>
      <c r="O305" s="616"/>
      <c r="P305" s="616"/>
      <c r="Q305" s="616"/>
      <c r="AA305" s="624"/>
      <c r="AB305" s="663">
        <v>39025041303</v>
      </c>
      <c r="AC305" s="663" t="s">
        <v>5235</v>
      </c>
      <c r="AD305" s="663" t="s">
        <v>4950</v>
      </c>
      <c r="AE305" s="663" t="s">
        <v>4934</v>
      </c>
      <c r="AF305" s="663" t="s">
        <v>4946</v>
      </c>
    </row>
    <row r="306" spans="1:32" s="608" customFormat="1" x14ac:dyDescent="0.25">
      <c r="A306" s="624"/>
      <c r="B306" s="617">
        <v>39025040301</v>
      </c>
      <c r="C306" s="617" t="s">
        <v>1974</v>
      </c>
      <c r="D306" s="617" t="s">
        <v>37</v>
      </c>
      <c r="E306" s="617" t="s">
        <v>4850</v>
      </c>
      <c r="F306" s="617" t="s">
        <v>26</v>
      </c>
      <c r="G306" s="624"/>
      <c r="H306" s="669">
        <v>44147</v>
      </c>
      <c r="I306" s="617" t="s">
        <v>4869</v>
      </c>
      <c r="J306" s="617" t="s">
        <v>26</v>
      </c>
      <c r="K306" s="624"/>
      <c r="O306" s="616"/>
      <c r="P306" s="616"/>
      <c r="Q306" s="616"/>
      <c r="AA306" s="624"/>
      <c r="AB306" s="663">
        <v>39025041304</v>
      </c>
      <c r="AC306" s="663" t="s">
        <v>5236</v>
      </c>
      <c r="AD306" s="663"/>
      <c r="AE306" s="663" t="s">
        <v>5237</v>
      </c>
      <c r="AF306" s="663" t="s">
        <v>4929</v>
      </c>
    </row>
    <row r="307" spans="1:32" s="608" customFormat="1" x14ac:dyDescent="0.25">
      <c r="A307" s="624"/>
      <c r="B307" s="617">
        <v>39025040302</v>
      </c>
      <c r="C307" s="617" t="s">
        <v>1975</v>
      </c>
      <c r="D307" s="617" t="s">
        <v>37</v>
      </c>
      <c r="E307" s="617" t="s">
        <v>4850</v>
      </c>
      <c r="F307" s="617" t="s">
        <v>26</v>
      </c>
      <c r="G307" s="624"/>
      <c r="H307" s="669">
        <v>44074</v>
      </c>
      <c r="I307" s="617" t="s">
        <v>4869</v>
      </c>
      <c r="J307" s="617" t="s">
        <v>26</v>
      </c>
      <c r="K307" s="624"/>
      <c r="O307" s="616"/>
      <c r="P307" s="616"/>
      <c r="Q307" s="616"/>
      <c r="AA307" s="624"/>
      <c r="AB307" s="663">
        <v>39025041305</v>
      </c>
      <c r="AC307" s="663" t="s">
        <v>5238</v>
      </c>
      <c r="AD307" s="663" t="s">
        <v>4950</v>
      </c>
      <c r="AE307" s="663" t="s">
        <v>4934</v>
      </c>
      <c r="AF307" s="663" t="s">
        <v>4946</v>
      </c>
    </row>
    <row r="308" spans="1:32" s="608" customFormat="1" x14ac:dyDescent="0.25">
      <c r="A308" s="624"/>
      <c r="B308" s="617">
        <v>39025040303</v>
      </c>
      <c r="C308" s="617" t="s">
        <v>1976</v>
      </c>
      <c r="D308" s="617" t="s">
        <v>37</v>
      </c>
      <c r="E308" s="617" t="s">
        <v>4850</v>
      </c>
      <c r="F308" s="617" t="s">
        <v>26</v>
      </c>
      <c r="G308" s="624"/>
      <c r="H308" s="669">
        <v>44203</v>
      </c>
      <c r="I308" s="617" t="s">
        <v>4868</v>
      </c>
      <c r="J308" s="617" t="s">
        <v>26</v>
      </c>
      <c r="K308" s="624"/>
      <c r="O308" s="616"/>
      <c r="P308" s="616"/>
      <c r="Q308" s="616"/>
      <c r="AA308" s="624"/>
      <c r="AB308" s="663">
        <v>39025041306</v>
      </c>
      <c r="AC308" s="663" t="s">
        <v>5239</v>
      </c>
      <c r="AD308" s="663" t="s">
        <v>4948</v>
      </c>
      <c r="AE308" s="663" t="s">
        <v>4931</v>
      </c>
      <c r="AF308" s="663" t="s">
        <v>4946</v>
      </c>
    </row>
    <row r="309" spans="1:32" s="608" customFormat="1" x14ac:dyDescent="0.25">
      <c r="A309" s="624"/>
      <c r="B309" s="617">
        <v>39025040401</v>
      </c>
      <c r="C309" s="617" t="s">
        <v>1977</v>
      </c>
      <c r="D309" s="617" t="s">
        <v>37</v>
      </c>
      <c r="E309" s="617" t="s">
        <v>4850</v>
      </c>
      <c r="F309" s="617" t="s">
        <v>26</v>
      </c>
      <c r="G309" s="624"/>
      <c r="H309" s="669">
        <v>44223</v>
      </c>
      <c r="I309" s="617" t="s">
        <v>4868</v>
      </c>
      <c r="J309" s="617" t="s">
        <v>26</v>
      </c>
      <c r="K309" s="624"/>
      <c r="O309" s="616"/>
      <c r="P309" s="616"/>
      <c r="Q309" s="616"/>
      <c r="AA309" s="624"/>
      <c r="AB309" s="663">
        <v>39025041307</v>
      </c>
      <c r="AC309" s="663" t="s">
        <v>5240</v>
      </c>
      <c r="AD309" s="663" t="s">
        <v>4950</v>
      </c>
      <c r="AE309" s="663" t="s">
        <v>4931</v>
      </c>
      <c r="AF309" s="663" t="s">
        <v>4946</v>
      </c>
    </row>
    <row r="310" spans="1:32" s="608" customFormat="1" x14ac:dyDescent="0.25">
      <c r="A310" s="624"/>
      <c r="B310" s="617">
        <v>39025040403</v>
      </c>
      <c r="C310" s="617" t="s">
        <v>1978</v>
      </c>
      <c r="D310" s="617" t="s">
        <v>37</v>
      </c>
      <c r="E310" s="617" t="s">
        <v>4850</v>
      </c>
      <c r="F310" s="617" t="s">
        <v>26</v>
      </c>
      <c r="G310" s="624"/>
      <c r="H310" s="669">
        <v>43456</v>
      </c>
      <c r="I310" s="617" t="s">
        <v>1676</v>
      </c>
      <c r="J310" s="617" t="s">
        <v>26</v>
      </c>
      <c r="K310" s="624"/>
      <c r="O310" s="616"/>
      <c r="P310" s="616"/>
      <c r="Q310" s="616"/>
      <c r="AA310" s="624"/>
      <c r="AB310" s="663">
        <v>39025041403</v>
      </c>
      <c r="AC310" s="663" t="s">
        <v>5241</v>
      </c>
      <c r="AD310" s="663" t="s">
        <v>4950</v>
      </c>
      <c r="AE310" s="663" t="s">
        <v>4934</v>
      </c>
      <c r="AF310" s="663" t="s">
        <v>4946</v>
      </c>
    </row>
    <row r="311" spans="1:32" s="608" customFormat="1" x14ac:dyDescent="0.25">
      <c r="A311" s="624"/>
      <c r="B311" s="617">
        <v>39025040404</v>
      </c>
      <c r="C311" s="617" t="s">
        <v>1979</v>
      </c>
      <c r="D311" s="617" t="s">
        <v>37</v>
      </c>
      <c r="E311" s="617" t="s">
        <v>4850</v>
      </c>
      <c r="F311" s="617" t="s">
        <v>26</v>
      </c>
      <c r="G311" s="624"/>
      <c r="H311" s="669">
        <v>45429</v>
      </c>
      <c r="I311" s="617" t="s">
        <v>4870</v>
      </c>
      <c r="J311" s="617" t="s">
        <v>26</v>
      </c>
      <c r="K311" s="624"/>
      <c r="O311" s="616"/>
      <c r="P311" s="616"/>
      <c r="Q311" s="616"/>
      <c r="AA311" s="624"/>
      <c r="AB311" s="663">
        <v>39025041404</v>
      </c>
      <c r="AC311" s="663" t="s">
        <v>5242</v>
      </c>
      <c r="AD311" s="663" t="s">
        <v>4950</v>
      </c>
      <c r="AE311" s="663" t="s">
        <v>4934</v>
      </c>
      <c r="AF311" s="663" t="s">
        <v>4946</v>
      </c>
    </row>
    <row r="312" spans="1:32" s="608" customFormat="1" x14ac:dyDescent="0.25">
      <c r="A312" s="624"/>
      <c r="B312" s="617">
        <v>39025040405</v>
      </c>
      <c r="C312" s="617" t="s">
        <v>1980</v>
      </c>
      <c r="D312" s="617" t="s">
        <v>37</v>
      </c>
      <c r="E312" s="617" t="s">
        <v>4850</v>
      </c>
      <c r="F312" s="617" t="s">
        <v>26</v>
      </c>
      <c r="G312" s="624"/>
      <c r="H312" s="669">
        <v>45322</v>
      </c>
      <c r="I312" s="617" t="s">
        <v>4870</v>
      </c>
      <c r="J312" s="617" t="s">
        <v>26</v>
      </c>
      <c r="K312" s="624"/>
      <c r="O312" s="616"/>
      <c r="P312" s="616"/>
      <c r="Q312" s="616"/>
      <c r="AA312" s="624"/>
      <c r="AB312" s="663">
        <v>39025041405</v>
      </c>
      <c r="AC312" s="663" t="s">
        <v>5243</v>
      </c>
      <c r="AD312" s="663" t="s">
        <v>4950</v>
      </c>
      <c r="AE312" s="663" t="s">
        <v>4928</v>
      </c>
      <c r="AF312" s="663" t="s">
        <v>4946</v>
      </c>
    </row>
    <row r="313" spans="1:32" s="608" customFormat="1" x14ac:dyDescent="0.25">
      <c r="A313" s="624"/>
      <c r="B313" s="617">
        <v>39025040500</v>
      </c>
      <c r="C313" s="617" t="s">
        <v>1981</v>
      </c>
      <c r="D313" s="617" t="s">
        <v>37</v>
      </c>
      <c r="E313" s="617" t="s">
        <v>4850</v>
      </c>
      <c r="F313" s="617" t="s">
        <v>26</v>
      </c>
      <c r="G313" s="624"/>
      <c r="H313" s="669">
        <v>45337</v>
      </c>
      <c r="I313" s="617" t="s">
        <v>4870</v>
      </c>
      <c r="J313" s="617" t="s">
        <v>26</v>
      </c>
      <c r="K313" s="624"/>
      <c r="O313" s="616"/>
      <c r="P313" s="616"/>
      <c r="Q313" s="616"/>
      <c r="AA313" s="624"/>
      <c r="AB313" s="663">
        <v>39025041406</v>
      </c>
      <c r="AC313" s="663" t="s">
        <v>5244</v>
      </c>
      <c r="AD313" s="663" t="s">
        <v>4941</v>
      </c>
      <c r="AE313" s="663" t="s">
        <v>4934</v>
      </c>
      <c r="AF313" s="663" t="s">
        <v>4946</v>
      </c>
    </row>
    <row r="314" spans="1:32" s="608" customFormat="1" x14ac:dyDescent="0.25">
      <c r="A314" s="624"/>
      <c r="B314" s="617">
        <v>39025040600</v>
      </c>
      <c r="C314" s="617" t="s">
        <v>1982</v>
      </c>
      <c r="D314" s="617" t="s">
        <v>37</v>
      </c>
      <c r="E314" s="617" t="s">
        <v>4850</v>
      </c>
      <c r="F314" s="617" t="s">
        <v>26</v>
      </c>
      <c r="G314" s="624"/>
      <c r="H314" s="669">
        <v>45218</v>
      </c>
      <c r="I314" s="617" t="s">
        <v>4867</v>
      </c>
      <c r="J314" s="617" t="s">
        <v>26</v>
      </c>
      <c r="K314" s="624"/>
      <c r="O314" s="616"/>
      <c r="P314" s="616"/>
      <c r="Q314" s="616"/>
      <c r="AA314" s="624"/>
      <c r="AB314" s="663">
        <v>39025041501</v>
      </c>
      <c r="AC314" s="663" t="s">
        <v>5245</v>
      </c>
      <c r="AD314" s="663" t="s">
        <v>4938</v>
      </c>
      <c r="AE314" s="663" t="s">
        <v>4931</v>
      </c>
      <c r="AF314" s="663" t="s">
        <v>4929</v>
      </c>
    </row>
    <row r="315" spans="1:32" s="608" customFormat="1" x14ac:dyDescent="0.25">
      <c r="A315" s="624"/>
      <c r="B315" s="617">
        <v>39025040702</v>
      </c>
      <c r="C315" s="617" t="s">
        <v>1983</v>
      </c>
      <c r="D315" s="617" t="s">
        <v>37</v>
      </c>
      <c r="E315" s="617" t="s">
        <v>4850</v>
      </c>
      <c r="F315" s="617" t="s">
        <v>26</v>
      </c>
      <c r="G315" s="624"/>
      <c r="H315" s="669">
        <v>43015</v>
      </c>
      <c r="I315" s="617" t="s">
        <v>4871</v>
      </c>
      <c r="J315" s="617" t="s">
        <v>26</v>
      </c>
      <c r="K315" s="624"/>
      <c r="O315" s="616"/>
      <c r="P315" s="616"/>
      <c r="Q315" s="616"/>
      <c r="AA315" s="624"/>
      <c r="AB315" s="663">
        <v>39025041502</v>
      </c>
      <c r="AC315" s="663" t="s">
        <v>5246</v>
      </c>
      <c r="AD315" s="663" t="s">
        <v>4950</v>
      </c>
      <c r="AE315" s="663" t="s">
        <v>4942</v>
      </c>
      <c r="AF315" s="663" t="s">
        <v>4946</v>
      </c>
    </row>
    <row r="316" spans="1:32" s="608" customFormat="1" x14ac:dyDescent="0.25">
      <c r="A316" s="624"/>
      <c r="B316" s="617">
        <v>39025040703</v>
      </c>
      <c r="C316" s="617" t="s">
        <v>1984</v>
      </c>
      <c r="D316" s="617" t="s">
        <v>37</v>
      </c>
      <c r="E316" s="617" t="s">
        <v>4850</v>
      </c>
      <c r="F316" s="617" t="s">
        <v>26</v>
      </c>
      <c r="G316" s="624"/>
      <c r="H316" s="669">
        <v>43567</v>
      </c>
      <c r="I316" s="617" t="s">
        <v>4872</v>
      </c>
      <c r="J316" s="617" t="s">
        <v>26</v>
      </c>
      <c r="K316" s="624"/>
      <c r="O316" s="616"/>
      <c r="P316" s="616"/>
      <c r="Q316" s="616"/>
      <c r="AA316" s="624"/>
      <c r="AB316" s="663">
        <v>39025041600</v>
      </c>
      <c r="AC316" s="663" t="s">
        <v>5247</v>
      </c>
      <c r="AD316" s="663" t="s">
        <v>4927</v>
      </c>
      <c r="AE316" s="663" t="s">
        <v>4942</v>
      </c>
      <c r="AF316" s="663" t="s">
        <v>4929</v>
      </c>
    </row>
    <row r="317" spans="1:32" s="608" customFormat="1" x14ac:dyDescent="0.25">
      <c r="A317" s="624"/>
      <c r="B317" s="617">
        <v>39025040704</v>
      </c>
      <c r="C317" s="617" t="s">
        <v>1985</v>
      </c>
      <c r="D317" s="617" t="s">
        <v>37</v>
      </c>
      <c r="E317" s="617" t="s">
        <v>4850</v>
      </c>
      <c r="F317" s="617" t="s">
        <v>26</v>
      </c>
      <c r="G317" s="624"/>
      <c r="H317" s="669">
        <v>43447</v>
      </c>
      <c r="I317" s="617" t="s">
        <v>4872</v>
      </c>
      <c r="J317" s="617" t="s">
        <v>26</v>
      </c>
      <c r="K317" s="624"/>
      <c r="O317" s="616"/>
      <c r="P317" s="616"/>
      <c r="Q317" s="616"/>
      <c r="AA317" s="624"/>
      <c r="AB317" s="663">
        <v>39025041701</v>
      </c>
      <c r="AC317" s="663" t="s">
        <v>5248</v>
      </c>
      <c r="AD317" s="663" t="s">
        <v>4927</v>
      </c>
      <c r="AE317" s="663" t="s">
        <v>4928</v>
      </c>
      <c r="AF317" s="663" t="s">
        <v>4929</v>
      </c>
    </row>
    <row r="318" spans="1:32" s="608" customFormat="1" x14ac:dyDescent="0.25">
      <c r="A318" s="624"/>
      <c r="B318" s="617">
        <v>39025040800</v>
      </c>
      <c r="C318" s="617" t="s">
        <v>1986</v>
      </c>
      <c r="D318" s="617" t="s">
        <v>37</v>
      </c>
      <c r="E318" s="617" t="s">
        <v>4850</v>
      </c>
      <c r="F318" s="617" t="s">
        <v>26</v>
      </c>
      <c r="G318" s="624"/>
      <c r="H318" s="669">
        <v>44730</v>
      </c>
      <c r="I318" s="617" t="s">
        <v>4874</v>
      </c>
      <c r="J318" s="617" t="s">
        <v>26</v>
      </c>
      <c r="K318" s="624"/>
      <c r="O318" s="616"/>
      <c r="P318" s="616"/>
      <c r="Q318" s="616"/>
      <c r="AA318" s="624"/>
      <c r="AB318" s="663">
        <v>39025041702</v>
      </c>
      <c r="AC318" s="663" t="s">
        <v>5249</v>
      </c>
      <c r="AD318" s="663" t="s">
        <v>4948</v>
      </c>
      <c r="AE318" s="663" t="s">
        <v>4939</v>
      </c>
      <c r="AF318" s="663" t="s">
        <v>4929</v>
      </c>
    </row>
    <row r="319" spans="1:32" s="608" customFormat="1" x14ac:dyDescent="0.25">
      <c r="A319" s="624"/>
      <c r="B319" s="617">
        <v>39025040900</v>
      </c>
      <c r="C319" s="617" t="s">
        <v>1987</v>
      </c>
      <c r="D319" s="617" t="s">
        <v>37</v>
      </c>
      <c r="E319" s="617" t="s">
        <v>4850</v>
      </c>
      <c r="F319" s="617" t="s">
        <v>26</v>
      </c>
      <c r="G319" s="624"/>
      <c r="H319" s="669">
        <v>45154</v>
      </c>
      <c r="I319" s="617" t="s">
        <v>1674</v>
      </c>
      <c r="J319" s="617" t="s">
        <v>26</v>
      </c>
      <c r="K319" s="624"/>
      <c r="O319" s="616"/>
      <c r="P319" s="616"/>
      <c r="Q319" s="616"/>
      <c r="AA319" s="624"/>
      <c r="AB319" s="663">
        <v>39025041800</v>
      </c>
      <c r="AC319" s="663" t="s">
        <v>5250</v>
      </c>
      <c r="AD319" s="663" t="s">
        <v>4927</v>
      </c>
      <c r="AE319" s="663" t="s">
        <v>4928</v>
      </c>
      <c r="AF319" s="663" t="s">
        <v>4929</v>
      </c>
    </row>
    <row r="320" spans="1:32" s="608" customFormat="1" x14ac:dyDescent="0.25">
      <c r="A320" s="624"/>
      <c r="B320" s="617">
        <v>39025041001</v>
      </c>
      <c r="C320" s="617" t="s">
        <v>1988</v>
      </c>
      <c r="D320" s="617" t="s">
        <v>37</v>
      </c>
      <c r="E320" s="617" t="s">
        <v>4850</v>
      </c>
      <c r="F320" s="617" t="s">
        <v>26</v>
      </c>
      <c r="G320" s="624"/>
      <c r="H320" s="669">
        <v>45806</v>
      </c>
      <c r="I320" s="617" t="s">
        <v>4875</v>
      </c>
      <c r="J320" s="617" t="s">
        <v>26</v>
      </c>
      <c r="K320" s="624"/>
      <c r="O320" s="616"/>
      <c r="P320" s="616"/>
      <c r="Q320" s="616"/>
      <c r="AA320" s="624"/>
      <c r="AB320" s="663">
        <v>39025041900</v>
      </c>
      <c r="AC320" s="663" t="s">
        <v>5251</v>
      </c>
      <c r="AD320" s="663" t="s">
        <v>4948</v>
      </c>
      <c r="AE320" s="663" t="s">
        <v>4942</v>
      </c>
      <c r="AF320" s="663" t="s">
        <v>4929</v>
      </c>
    </row>
    <row r="321" spans="1:32" s="608" customFormat="1" x14ac:dyDescent="0.25">
      <c r="A321" s="624"/>
      <c r="B321" s="617">
        <v>39025041002</v>
      </c>
      <c r="C321" s="617" t="s">
        <v>1989</v>
      </c>
      <c r="D321" s="617" t="s">
        <v>37</v>
      </c>
      <c r="E321" s="617" t="s">
        <v>4850</v>
      </c>
      <c r="F321" s="617" t="s">
        <v>26</v>
      </c>
      <c r="G321" s="624"/>
      <c r="H321" s="669">
        <v>45323</v>
      </c>
      <c r="I321" s="617" t="s">
        <v>4876</v>
      </c>
      <c r="J321" s="617" t="s">
        <v>26</v>
      </c>
      <c r="K321" s="624"/>
      <c r="O321" s="616"/>
      <c r="P321" s="616"/>
      <c r="Q321" s="616"/>
      <c r="AA321" s="624"/>
      <c r="AB321" s="663">
        <v>39025042000</v>
      </c>
      <c r="AC321" s="663" t="s">
        <v>5252</v>
      </c>
      <c r="AD321" s="663" t="s">
        <v>4927</v>
      </c>
      <c r="AE321" s="663" t="s">
        <v>4939</v>
      </c>
      <c r="AF321" s="663" t="s">
        <v>4929</v>
      </c>
    </row>
    <row r="322" spans="1:32" s="608" customFormat="1" x14ac:dyDescent="0.25">
      <c r="A322" s="624"/>
      <c r="B322" s="617">
        <v>39025041101</v>
      </c>
      <c r="C322" s="617" t="s">
        <v>1990</v>
      </c>
      <c r="D322" s="617" t="s">
        <v>37</v>
      </c>
      <c r="E322" s="617" t="s">
        <v>4850</v>
      </c>
      <c r="F322" s="617" t="s">
        <v>26</v>
      </c>
      <c r="G322" s="624"/>
      <c r="H322" s="669">
        <v>43748</v>
      </c>
      <c r="I322" s="617" t="s">
        <v>1677</v>
      </c>
      <c r="J322" s="617" t="s">
        <v>26</v>
      </c>
      <c r="K322" s="624"/>
      <c r="O322" s="616"/>
      <c r="P322" s="616"/>
      <c r="Q322" s="616"/>
      <c r="AA322" s="624"/>
      <c r="AB322" s="663">
        <v>39027964300</v>
      </c>
      <c r="AC322" s="663" t="s">
        <v>5253</v>
      </c>
      <c r="AD322" s="663" t="s">
        <v>4927</v>
      </c>
      <c r="AE322" s="663" t="s">
        <v>4942</v>
      </c>
      <c r="AF322" s="663" t="s">
        <v>4929</v>
      </c>
    </row>
    <row r="323" spans="1:32" s="608" customFormat="1" x14ac:dyDescent="0.25">
      <c r="A323" s="624"/>
      <c r="B323" s="617">
        <v>39025041102</v>
      </c>
      <c r="C323" s="617" t="s">
        <v>1991</v>
      </c>
      <c r="D323" s="617" t="s">
        <v>37</v>
      </c>
      <c r="E323" s="617" t="s">
        <v>4850</v>
      </c>
      <c r="F323" s="617" t="s">
        <v>24</v>
      </c>
      <c r="G323" s="624"/>
      <c r="H323" s="669">
        <v>44510</v>
      </c>
      <c r="I323" s="617" t="s">
        <v>4873</v>
      </c>
      <c r="J323" s="617" t="s">
        <v>26</v>
      </c>
      <c r="K323" s="624"/>
      <c r="O323" s="616"/>
      <c r="P323" s="616"/>
      <c r="Q323" s="616"/>
      <c r="AA323" s="624"/>
      <c r="AB323" s="663">
        <v>39027964400</v>
      </c>
      <c r="AC323" s="663" t="s">
        <v>5254</v>
      </c>
      <c r="AD323" s="663" t="s">
        <v>4948</v>
      </c>
      <c r="AE323" s="663" t="s">
        <v>4939</v>
      </c>
      <c r="AF323" s="663" t="s">
        <v>4929</v>
      </c>
    </row>
    <row r="324" spans="1:32" s="608" customFormat="1" x14ac:dyDescent="0.25">
      <c r="A324" s="624"/>
      <c r="B324" s="617">
        <v>39025041104</v>
      </c>
      <c r="C324" s="617" t="s">
        <v>1992</v>
      </c>
      <c r="D324" s="617" t="s">
        <v>37</v>
      </c>
      <c r="E324" s="617" t="s">
        <v>4850</v>
      </c>
      <c r="F324" s="617" t="s">
        <v>26</v>
      </c>
      <c r="G324" s="624"/>
      <c r="H324" s="669">
        <v>43782</v>
      </c>
      <c r="I324" s="617" t="s">
        <v>1677</v>
      </c>
      <c r="J324" s="617" t="s">
        <v>26</v>
      </c>
      <c r="K324" s="624"/>
      <c r="O324" s="616"/>
      <c r="P324" s="616"/>
      <c r="Q324" s="616"/>
      <c r="AA324" s="624"/>
      <c r="AB324" s="663">
        <v>39027964500</v>
      </c>
      <c r="AC324" s="663" t="s">
        <v>5255</v>
      </c>
      <c r="AD324" s="663" t="s">
        <v>4950</v>
      </c>
      <c r="AE324" s="663" t="s">
        <v>4942</v>
      </c>
      <c r="AF324" s="663" t="s">
        <v>4929</v>
      </c>
    </row>
    <row r="325" spans="1:32" s="608" customFormat="1" x14ac:dyDescent="0.25">
      <c r="A325" s="624"/>
      <c r="B325" s="617">
        <v>39025041105</v>
      </c>
      <c r="C325" s="617" t="s">
        <v>1993</v>
      </c>
      <c r="D325" s="617" t="s">
        <v>37</v>
      </c>
      <c r="E325" s="617" t="s">
        <v>4850</v>
      </c>
      <c r="F325" s="617" t="s">
        <v>26</v>
      </c>
      <c r="G325" s="624"/>
      <c r="H325" s="669">
        <v>44805</v>
      </c>
      <c r="I325" s="617" t="s">
        <v>4877</v>
      </c>
      <c r="J325" s="617" t="s">
        <v>26</v>
      </c>
      <c r="K325" s="624"/>
      <c r="O325" s="616"/>
      <c r="P325" s="616"/>
      <c r="Q325" s="616"/>
      <c r="AA325" s="624"/>
      <c r="AB325" s="663">
        <v>39027964600</v>
      </c>
      <c r="AC325" s="663" t="s">
        <v>5256</v>
      </c>
      <c r="AD325" s="663" t="s">
        <v>4950</v>
      </c>
      <c r="AE325" s="663" t="s">
        <v>4939</v>
      </c>
      <c r="AF325" s="663" t="s">
        <v>4983</v>
      </c>
    </row>
    <row r="326" spans="1:32" s="608" customFormat="1" x14ac:dyDescent="0.25">
      <c r="A326" s="624"/>
      <c r="B326" s="617">
        <v>39025041201</v>
      </c>
      <c r="C326" s="617" t="s">
        <v>1994</v>
      </c>
      <c r="D326" s="617" t="s">
        <v>37</v>
      </c>
      <c r="E326" s="617" t="s">
        <v>4850</v>
      </c>
      <c r="F326" s="617" t="s">
        <v>26</v>
      </c>
      <c r="G326" s="624"/>
      <c r="H326" s="669">
        <v>44077</v>
      </c>
      <c r="I326" s="617" t="s">
        <v>4869</v>
      </c>
      <c r="J326" s="617" t="s">
        <v>26</v>
      </c>
      <c r="K326" s="624"/>
      <c r="O326" s="616"/>
      <c r="P326" s="616"/>
      <c r="Q326" s="616"/>
      <c r="AA326" s="624"/>
      <c r="AB326" s="663">
        <v>39027964700</v>
      </c>
      <c r="AC326" s="663" t="s">
        <v>5257</v>
      </c>
      <c r="AD326" s="663" t="s">
        <v>4927</v>
      </c>
      <c r="AE326" s="663" t="s">
        <v>4942</v>
      </c>
      <c r="AF326" s="663" t="s">
        <v>4929</v>
      </c>
    </row>
    <row r="327" spans="1:32" s="608" customFormat="1" x14ac:dyDescent="0.25">
      <c r="A327" s="624"/>
      <c r="B327" s="617">
        <v>39025041202</v>
      </c>
      <c r="C327" s="617" t="s">
        <v>1995</v>
      </c>
      <c r="D327" s="617" t="s">
        <v>37</v>
      </c>
      <c r="E327" s="617" t="s">
        <v>4850</v>
      </c>
      <c r="F327" s="617" t="s">
        <v>26</v>
      </c>
      <c r="G327" s="624"/>
      <c r="H327" s="669">
        <v>44121</v>
      </c>
      <c r="I327" s="617" t="s">
        <v>4869</v>
      </c>
      <c r="J327" s="617" t="s">
        <v>26</v>
      </c>
      <c r="K327" s="624"/>
      <c r="O327" s="616"/>
      <c r="P327" s="616"/>
      <c r="Q327" s="616"/>
      <c r="AA327" s="624"/>
      <c r="AB327" s="663">
        <v>39027964800</v>
      </c>
      <c r="AC327" s="663" t="s">
        <v>5258</v>
      </c>
      <c r="AD327" s="663" t="s">
        <v>4950</v>
      </c>
      <c r="AE327" s="663" t="s">
        <v>4934</v>
      </c>
      <c r="AF327" s="663" t="s">
        <v>4929</v>
      </c>
    </row>
    <row r="328" spans="1:32" s="608" customFormat="1" x14ac:dyDescent="0.25">
      <c r="A328" s="624"/>
      <c r="B328" s="617">
        <v>39025041303</v>
      </c>
      <c r="C328" s="617" t="s">
        <v>1996</v>
      </c>
      <c r="D328" s="617" t="s">
        <v>37</v>
      </c>
      <c r="E328" s="617" t="s">
        <v>4850</v>
      </c>
      <c r="F328" s="617" t="s">
        <v>26</v>
      </c>
      <c r="G328" s="624"/>
      <c r="H328" s="669">
        <v>44132</v>
      </c>
      <c r="I328" s="617" t="s">
        <v>4869</v>
      </c>
      <c r="J328" s="617" t="s">
        <v>26</v>
      </c>
      <c r="K328" s="624"/>
      <c r="O328" s="616"/>
      <c r="P328" s="616"/>
      <c r="Q328" s="616"/>
      <c r="AA328" s="624"/>
      <c r="AB328" s="663">
        <v>39027964900</v>
      </c>
      <c r="AC328" s="663" t="s">
        <v>5259</v>
      </c>
      <c r="AD328" s="663" t="s">
        <v>4950</v>
      </c>
      <c r="AE328" s="663" t="s">
        <v>4934</v>
      </c>
      <c r="AF328" s="663" t="s">
        <v>4929</v>
      </c>
    </row>
    <row r="329" spans="1:32" s="608" customFormat="1" x14ac:dyDescent="0.25">
      <c r="A329" s="624"/>
      <c r="B329" s="617">
        <v>39025041304</v>
      </c>
      <c r="C329" s="617" t="s">
        <v>1997</v>
      </c>
      <c r="D329" s="617" t="s">
        <v>37</v>
      </c>
      <c r="E329" s="617" t="s">
        <v>4850</v>
      </c>
      <c r="F329" s="617" t="s">
        <v>26</v>
      </c>
      <c r="G329" s="624"/>
      <c r="H329" s="669">
        <v>44312</v>
      </c>
      <c r="I329" s="617" t="s">
        <v>4868</v>
      </c>
      <c r="J329" s="617" t="s">
        <v>26</v>
      </c>
      <c r="K329" s="624"/>
      <c r="O329" s="616"/>
      <c r="P329" s="616"/>
      <c r="Q329" s="616"/>
      <c r="AA329" s="624"/>
      <c r="AB329" s="663">
        <v>39027965000</v>
      </c>
      <c r="AC329" s="663" t="s">
        <v>5260</v>
      </c>
      <c r="AD329" s="663" t="s">
        <v>4950</v>
      </c>
      <c r="AE329" s="663" t="s">
        <v>4934</v>
      </c>
      <c r="AF329" s="663" t="s">
        <v>4929</v>
      </c>
    </row>
    <row r="330" spans="1:32" s="608" customFormat="1" x14ac:dyDescent="0.25">
      <c r="A330" s="624"/>
      <c r="B330" s="617">
        <v>39025041305</v>
      </c>
      <c r="C330" s="617" t="s">
        <v>1998</v>
      </c>
      <c r="D330" s="617" t="s">
        <v>37</v>
      </c>
      <c r="E330" s="617" t="s">
        <v>4850</v>
      </c>
      <c r="F330" s="617" t="s">
        <v>26</v>
      </c>
      <c r="G330" s="624"/>
      <c r="H330" s="669">
        <v>44278</v>
      </c>
      <c r="I330" s="617" t="s">
        <v>4868</v>
      </c>
      <c r="J330" s="617" t="s">
        <v>26</v>
      </c>
      <c r="K330" s="624"/>
      <c r="O330" s="616"/>
      <c r="P330" s="616"/>
      <c r="Q330" s="616"/>
      <c r="AA330" s="624"/>
      <c r="AB330" s="663">
        <v>39027965100</v>
      </c>
      <c r="AC330" s="663" t="s">
        <v>5261</v>
      </c>
      <c r="AD330" s="663" t="s">
        <v>4950</v>
      </c>
      <c r="AE330" s="663" t="s">
        <v>4939</v>
      </c>
      <c r="AF330" s="663" t="s">
        <v>4929</v>
      </c>
    </row>
    <row r="331" spans="1:32" s="608" customFormat="1" x14ac:dyDescent="0.25">
      <c r="A331" s="624"/>
      <c r="B331" s="617">
        <v>39025041306</v>
      </c>
      <c r="C331" s="617" t="s">
        <v>1999</v>
      </c>
      <c r="D331" s="617" t="s">
        <v>37</v>
      </c>
      <c r="E331" s="617" t="s">
        <v>4850</v>
      </c>
      <c r="F331" s="617" t="s">
        <v>26</v>
      </c>
      <c r="G331" s="624"/>
      <c r="H331" s="669">
        <v>44216</v>
      </c>
      <c r="I331" s="617" t="s">
        <v>4868</v>
      </c>
      <c r="J331" s="617" t="s">
        <v>26</v>
      </c>
      <c r="K331" s="624"/>
      <c r="O331" s="616"/>
      <c r="P331" s="616"/>
      <c r="Q331" s="616"/>
      <c r="AA331" s="624"/>
      <c r="AB331" s="663">
        <v>39029950100</v>
      </c>
      <c r="AC331" s="663" t="s">
        <v>5262</v>
      </c>
      <c r="AD331" s="663" t="s">
        <v>4948</v>
      </c>
      <c r="AE331" s="663" t="s">
        <v>4939</v>
      </c>
      <c r="AF331" s="663" t="s">
        <v>4929</v>
      </c>
    </row>
    <row r="332" spans="1:32" s="608" customFormat="1" x14ac:dyDescent="0.25">
      <c r="A332" s="624"/>
      <c r="B332" s="617">
        <v>39025041307</v>
      </c>
      <c r="C332" s="617" t="s">
        <v>2000</v>
      </c>
      <c r="D332" s="617" t="s">
        <v>37</v>
      </c>
      <c r="E332" s="617" t="s">
        <v>4850</v>
      </c>
      <c r="F332" s="617" t="s">
        <v>26</v>
      </c>
      <c r="G332" s="624"/>
      <c r="H332" s="669">
        <v>44720</v>
      </c>
      <c r="I332" s="617" t="s">
        <v>4868</v>
      </c>
      <c r="J332" s="617" t="s">
        <v>26</v>
      </c>
      <c r="K332" s="624"/>
      <c r="O332" s="616"/>
      <c r="P332" s="616"/>
      <c r="Q332" s="616"/>
      <c r="AA332" s="624"/>
      <c r="AB332" s="663">
        <v>39029950200</v>
      </c>
      <c r="AC332" s="663" t="s">
        <v>5263</v>
      </c>
      <c r="AD332" s="663" t="s">
        <v>4941</v>
      </c>
      <c r="AE332" s="663" t="s">
        <v>4928</v>
      </c>
      <c r="AF332" s="663" t="s">
        <v>4929</v>
      </c>
    </row>
    <row r="333" spans="1:32" s="608" customFormat="1" x14ac:dyDescent="0.25">
      <c r="A333" s="624"/>
      <c r="B333" s="617">
        <v>39025041403</v>
      </c>
      <c r="C333" s="617" t="s">
        <v>2001</v>
      </c>
      <c r="D333" s="617" t="s">
        <v>37</v>
      </c>
      <c r="E333" s="617" t="s">
        <v>4850</v>
      </c>
      <c r="F333" s="617" t="s">
        <v>26</v>
      </c>
      <c r="G333" s="624"/>
      <c r="H333" s="669">
        <v>45324</v>
      </c>
      <c r="I333" s="617" t="s">
        <v>4870</v>
      </c>
      <c r="J333" s="617" t="s">
        <v>26</v>
      </c>
      <c r="K333" s="624"/>
      <c r="O333" s="616"/>
      <c r="P333" s="616"/>
      <c r="Q333" s="616"/>
      <c r="AA333" s="624"/>
      <c r="AB333" s="663">
        <v>39029950300</v>
      </c>
      <c r="AC333" s="663" t="s">
        <v>5264</v>
      </c>
      <c r="AD333" s="663" t="s">
        <v>4941</v>
      </c>
      <c r="AE333" s="663" t="s">
        <v>4942</v>
      </c>
      <c r="AF333" s="663" t="s">
        <v>4929</v>
      </c>
    </row>
    <row r="334" spans="1:32" s="608" customFormat="1" x14ac:dyDescent="0.25">
      <c r="A334" s="624"/>
      <c r="B334" s="617">
        <v>39025041404</v>
      </c>
      <c r="C334" s="617" t="s">
        <v>2002</v>
      </c>
      <c r="D334" s="617" t="s">
        <v>37</v>
      </c>
      <c r="E334" s="617" t="s">
        <v>4850</v>
      </c>
      <c r="F334" s="617" t="s">
        <v>26</v>
      </c>
      <c r="G334" s="624"/>
      <c r="H334" s="669">
        <v>45439</v>
      </c>
      <c r="I334" s="617" t="s">
        <v>4870</v>
      </c>
      <c r="J334" s="617" t="s">
        <v>26</v>
      </c>
      <c r="K334" s="624"/>
      <c r="O334" s="616"/>
      <c r="P334" s="616"/>
      <c r="Q334" s="616"/>
      <c r="AA334" s="624"/>
      <c r="AB334" s="663">
        <v>39029950400</v>
      </c>
      <c r="AC334" s="663" t="s">
        <v>5265</v>
      </c>
      <c r="AD334" s="663" t="s">
        <v>4941</v>
      </c>
      <c r="AE334" s="663" t="s">
        <v>4942</v>
      </c>
      <c r="AF334" s="663" t="s">
        <v>4929</v>
      </c>
    </row>
    <row r="335" spans="1:32" s="608" customFormat="1" x14ac:dyDescent="0.25">
      <c r="A335" s="624"/>
      <c r="B335" s="617">
        <v>39025041405</v>
      </c>
      <c r="C335" s="617" t="s">
        <v>2003</v>
      </c>
      <c r="D335" s="617" t="s">
        <v>37</v>
      </c>
      <c r="E335" s="617" t="s">
        <v>4850</v>
      </c>
      <c r="F335" s="617" t="s">
        <v>26</v>
      </c>
      <c r="G335" s="624"/>
      <c r="H335" s="669">
        <v>45247</v>
      </c>
      <c r="I335" s="617" t="s">
        <v>4867</v>
      </c>
      <c r="J335" s="617" t="s">
        <v>26</v>
      </c>
      <c r="K335" s="624"/>
      <c r="O335" s="616"/>
      <c r="P335" s="616"/>
      <c r="Q335" s="616"/>
      <c r="AA335" s="624"/>
      <c r="AB335" s="663">
        <v>39029950500</v>
      </c>
      <c r="AC335" s="663" t="s">
        <v>5266</v>
      </c>
      <c r="AD335" s="663" t="s">
        <v>4948</v>
      </c>
      <c r="AE335" s="663" t="s">
        <v>4934</v>
      </c>
      <c r="AF335" s="663" t="s">
        <v>4929</v>
      </c>
    </row>
    <row r="336" spans="1:32" s="608" customFormat="1" x14ac:dyDescent="0.25">
      <c r="A336" s="624"/>
      <c r="B336" s="617">
        <v>39025041406</v>
      </c>
      <c r="C336" s="617" t="s">
        <v>2004</v>
      </c>
      <c r="D336" s="617" t="s">
        <v>37</v>
      </c>
      <c r="E336" s="617" t="s">
        <v>4850</v>
      </c>
      <c r="F336" s="617" t="s">
        <v>26</v>
      </c>
      <c r="G336" s="624"/>
      <c r="H336" s="669">
        <v>45458</v>
      </c>
      <c r="I336" s="617" t="s">
        <v>4867</v>
      </c>
      <c r="J336" s="617" t="s">
        <v>26</v>
      </c>
      <c r="K336" s="624"/>
      <c r="O336" s="616"/>
      <c r="P336" s="616"/>
      <c r="Q336" s="616"/>
      <c r="AA336" s="624"/>
      <c r="AB336" s="663">
        <v>39029950600</v>
      </c>
      <c r="AC336" s="663" t="s">
        <v>5267</v>
      </c>
      <c r="AD336" s="663" t="s">
        <v>4950</v>
      </c>
      <c r="AE336" s="663" t="s">
        <v>4928</v>
      </c>
      <c r="AF336" s="663" t="s">
        <v>4929</v>
      </c>
    </row>
    <row r="337" spans="1:32" s="608" customFormat="1" x14ac:dyDescent="0.25">
      <c r="A337" s="624"/>
      <c r="B337" s="617">
        <v>39025041503</v>
      </c>
      <c r="C337" s="617" t="s">
        <v>2005</v>
      </c>
      <c r="D337" s="617" t="s">
        <v>37</v>
      </c>
      <c r="E337" s="617" t="s">
        <v>4850</v>
      </c>
      <c r="F337" s="617" t="s">
        <v>26</v>
      </c>
      <c r="G337" s="624"/>
      <c r="H337" s="669">
        <v>43206</v>
      </c>
      <c r="I337" s="617" t="s">
        <v>4871</v>
      </c>
      <c r="J337" s="617" t="s">
        <v>26</v>
      </c>
      <c r="K337" s="624"/>
      <c r="O337" s="616"/>
      <c r="P337" s="616"/>
      <c r="Q337" s="616"/>
      <c r="AA337" s="624"/>
      <c r="AB337" s="663">
        <v>39029950700</v>
      </c>
      <c r="AC337" s="663" t="s">
        <v>5268</v>
      </c>
      <c r="AD337" s="663" t="s">
        <v>4948</v>
      </c>
      <c r="AE337" s="663" t="s">
        <v>4931</v>
      </c>
      <c r="AF337" s="663" t="s">
        <v>4929</v>
      </c>
    </row>
    <row r="338" spans="1:32" s="608" customFormat="1" x14ac:dyDescent="0.25">
      <c r="A338" s="624"/>
      <c r="B338" s="617">
        <v>39025041504</v>
      </c>
      <c r="C338" s="617" t="s">
        <v>2006</v>
      </c>
      <c r="D338" s="617" t="s">
        <v>37</v>
      </c>
      <c r="E338" s="617" t="s">
        <v>4850</v>
      </c>
      <c r="F338" s="617" t="s">
        <v>26</v>
      </c>
      <c r="G338" s="624"/>
      <c r="H338" s="669">
        <v>43064</v>
      </c>
      <c r="I338" s="617" t="s">
        <v>4871</v>
      </c>
      <c r="J338" s="617" t="s">
        <v>26</v>
      </c>
      <c r="K338" s="624"/>
      <c r="O338" s="616"/>
      <c r="P338" s="616"/>
      <c r="Q338" s="616"/>
      <c r="AA338" s="624"/>
      <c r="AB338" s="663">
        <v>39029950800</v>
      </c>
      <c r="AC338" s="663" t="s">
        <v>5269</v>
      </c>
      <c r="AD338" s="663" t="s">
        <v>4941</v>
      </c>
      <c r="AE338" s="663" t="s">
        <v>4942</v>
      </c>
      <c r="AF338" s="663" t="s">
        <v>4929</v>
      </c>
    </row>
    <row r="339" spans="1:32" s="608" customFormat="1" x14ac:dyDescent="0.25">
      <c r="A339" s="624"/>
      <c r="B339" s="617">
        <v>39025041505</v>
      </c>
      <c r="C339" s="617" t="s">
        <v>2007</v>
      </c>
      <c r="D339" s="617" t="s">
        <v>37</v>
      </c>
      <c r="E339" s="617" t="s">
        <v>4850</v>
      </c>
      <c r="F339" s="617" t="s">
        <v>26</v>
      </c>
      <c r="G339" s="624"/>
      <c r="H339" s="669">
        <v>43613</v>
      </c>
      <c r="I339" s="617" t="s">
        <v>4872</v>
      </c>
      <c r="J339" s="617" t="s">
        <v>26</v>
      </c>
      <c r="K339" s="624"/>
      <c r="O339" s="616"/>
      <c r="P339" s="616"/>
      <c r="Q339" s="616"/>
      <c r="AA339" s="624"/>
      <c r="AB339" s="663">
        <v>39029950900</v>
      </c>
      <c r="AC339" s="663" t="s">
        <v>5270</v>
      </c>
      <c r="AD339" s="663" t="s">
        <v>4948</v>
      </c>
      <c r="AE339" s="663" t="s">
        <v>4934</v>
      </c>
      <c r="AF339" s="663" t="s">
        <v>4929</v>
      </c>
    </row>
    <row r="340" spans="1:32" s="608" customFormat="1" x14ac:dyDescent="0.25">
      <c r="A340" s="624"/>
      <c r="B340" s="617">
        <v>39025041506</v>
      </c>
      <c r="C340" s="617" t="s">
        <v>2008</v>
      </c>
      <c r="D340" s="617" t="s">
        <v>37</v>
      </c>
      <c r="E340" s="617" t="s">
        <v>4850</v>
      </c>
      <c r="F340" s="617" t="s">
        <v>26</v>
      </c>
      <c r="G340" s="624"/>
      <c r="H340" s="669">
        <v>43611</v>
      </c>
      <c r="I340" s="617" t="s">
        <v>4872</v>
      </c>
      <c r="J340" s="617" t="s">
        <v>26</v>
      </c>
      <c r="K340" s="624"/>
      <c r="O340" s="616"/>
      <c r="P340" s="616"/>
      <c r="Q340" s="616"/>
      <c r="AA340" s="624"/>
      <c r="AB340" s="663">
        <v>39029951000</v>
      </c>
      <c r="AC340" s="663" t="s">
        <v>5271</v>
      </c>
      <c r="AD340" s="663" t="s">
        <v>4948</v>
      </c>
      <c r="AE340" s="663" t="s">
        <v>4931</v>
      </c>
      <c r="AF340" s="663" t="s">
        <v>4929</v>
      </c>
    </row>
    <row r="341" spans="1:32" s="608" customFormat="1" x14ac:dyDescent="0.25">
      <c r="A341" s="624"/>
      <c r="B341" s="617">
        <v>39025041600</v>
      </c>
      <c r="C341" s="617" t="s">
        <v>2009</v>
      </c>
      <c r="D341" s="617" t="s">
        <v>37</v>
      </c>
      <c r="E341" s="617" t="s">
        <v>4850</v>
      </c>
      <c r="F341" s="617" t="s">
        <v>26</v>
      </c>
      <c r="G341" s="624"/>
      <c r="H341" s="669">
        <v>43430</v>
      </c>
      <c r="I341" s="617" t="s">
        <v>4872</v>
      </c>
      <c r="J341" s="617" t="s">
        <v>26</v>
      </c>
      <c r="K341" s="624"/>
      <c r="O341" s="616"/>
      <c r="P341" s="616"/>
      <c r="Q341" s="616"/>
      <c r="AA341" s="624"/>
      <c r="AB341" s="663">
        <v>39029951100</v>
      </c>
      <c r="AC341" s="663" t="s">
        <v>5272</v>
      </c>
      <c r="AD341" s="663" t="s">
        <v>4927</v>
      </c>
      <c r="AE341" s="663" t="s">
        <v>4934</v>
      </c>
      <c r="AF341" s="663" t="s">
        <v>4929</v>
      </c>
    </row>
    <row r="342" spans="1:32" s="608" customFormat="1" x14ac:dyDescent="0.25">
      <c r="A342" s="624"/>
      <c r="B342" s="617">
        <v>39025041701</v>
      </c>
      <c r="C342" s="617" t="s">
        <v>2010</v>
      </c>
      <c r="D342" s="617" t="s">
        <v>37</v>
      </c>
      <c r="E342" s="617" t="s">
        <v>4850</v>
      </c>
      <c r="F342" s="617" t="s">
        <v>26</v>
      </c>
      <c r="G342" s="624"/>
      <c r="H342" s="669">
        <v>44129</v>
      </c>
      <c r="I342" s="617" t="s">
        <v>4869</v>
      </c>
      <c r="J342" s="617" t="s">
        <v>26</v>
      </c>
      <c r="K342" s="624"/>
      <c r="O342" s="616"/>
      <c r="P342" s="616"/>
      <c r="Q342" s="616"/>
      <c r="AA342" s="624"/>
      <c r="AB342" s="663">
        <v>39029951200</v>
      </c>
      <c r="AC342" s="663" t="s">
        <v>5273</v>
      </c>
      <c r="AD342" s="663" t="s">
        <v>4927</v>
      </c>
      <c r="AE342" s="663" t="s">
        <v>4931</v>
      </c>
      <c r="AF342" s="663" t="s">
        <v>4929</v>
      </c>
    </row>
    <row r="343" spans="1:32" s="608" customFormat="1" x14ac:dyDescent="0.25">
      <c r="A343" s="624"/>
      <c r="B343" s="617">
        <v>39025041702</v>
      </c>
      <c r="C343" s="617" t="s">
        <v>2011</v>
      </c>
      <c r="D343" s="617" t="s">
        <v>37</v>
      </c>
      <c r="E343" s="617" t="s">
        <v>4850</v>
      </c>
      <c r="F343" s="617" t="s">
        <v>26</v>
      </c>
      <c r="G343" s="624"/>
      <c r="H343" s="669">
        <v>44128</v>
      </c>
      <c r="I343" s="617" t="s">
        <v>4869</v>
      </c>
      <c r="J343" s="617" t="s">
        <v>26</v>
      </c>
      <c r="K343" s="624"/>
      <c r="O343" s="616"/>
      <c r="P343" s="616"/>
      <c r="Q343" s="616"/>
      <c r="AA343" s="624"/>
      <c r="AB343" s="663">
        <v>39029951300</v>
      </c>
      <c r="AC343" s="663" t="s">
        <v>5274</v>
      </c>
      <c r="AD343" s="663" t="s">
        <v>4927</v>
      </c>
      <c r="AE343" s="663" t="s">
        <v>4942</v>
      </c>
      <c r="AF343" s="663" t="s">
        <v>4929</v>
      </c>
    </row>
    <row r="344" spans="1:32" s="608" customFormat="1" x14ac:dyDescent="0.25">
      <c r="A344" s="624"/>
      <c r="B344" s="617">
        <v>39025041800</v>
      </c>
      <c r="C344" s="617" t="s">
        <v>2012</v>
      </c>
      <c r="D344" s="617" t="s">
        <v>37</v>
      </c>
      <c r="E344" s="617" t="s">
        <v>4850</v>
      </c>
      <c r="F344" s="617" t="s">
        <v>26</v>
      </c>
      <c r="G344" s="624"/>
      <c r="H344" s="669">
        <v>44092</v>
      </c>
      <c r="I344" s="617" t="s">
        <v>4869</v>
      </c>
      <c r="J344" s="617" t="s">
        <v>26</v>
      </c>
      <c r="K344" s="624"/>
      <c r="O344" s="616"/>
      <c r="P344" s="616"/>
      <c r="Q344" s="616"/>
      <c r="AA344" s="624"/>
      <c r="AB344" s="663">
        <v>39029951400</v>
      </c>
      <c r="AC344" s="663" t="s">
        <v>5275</v>
      </c>
      <c r="AD344" s="663" t="s">
        <v>4941</v>
      </c>
      <c r="AE344" s="663" t="s">
        <v>4942</v>
      </c>
      <c r="AF344" s="663" t="s">
        <v>4929</v>
      </c>
    </row>
    <row r="345" spans="1:32" s="608" customFormat="1" x14ac:dyDescent="0.25">
      <c r="A345" s="624"/>
      <c r="B345" s="617">
        <v>39025041900</v>
      </c>
      <c r="C345" s="617" t="s">
        <v>2013</v>
      </c>
      <c r="D345" s="617" t="s">
        <v>37</v>
      </c>
      <c r="E345" s="617" t="s">
        <v>4850</v>
      </c>
      <c r="F345" s="617" t="s">
        <v>26</v>
      </c>
      <c r="G345" s="624"/>
      <c r="H345" s="669">
        <v>44050</v>
      </c>
      <c r="I345" s="617" t="s">
        <v>4869</v>
      </c>
      <c r="J345" s="617" t="s">
        <v>26</v>
      </c>
      <c r="K345" s="624"/>
      <c r="O345" s="616"/>
      <c r="P345" s="616"/>
      <c r="Q345" s="616"/>
      <c r="AA345" s="624"/>
      <c r="AB345" s="663">
        <v>39029951500</v>
      </c>
      <c r="AC345" s="663" t="s">
        <v>5276</v>
      </c>
      <c r="AD345" s="663" t="s">
        <v>4950</v>
      </c>
      <c r="AE345" s="663" t="s">
        <v>4942</v>
      </c>
      <c r="AF345" s="663" t="s">
        <v>4929</v>
      </c>
    </row>
    <row r="346" spans="1:32" s="608" customFormat="1" x14ac:dyDescent="0.25">
      <c r="A346" s="624"/>
      <c r="B346" s="617">
        <v>39025042001</v>
      </c>
      <c r="C346" s="617" t="s">
        <v>2014</v>
      </c>
      <c r="D346" s="617" t="s">
        <v>37</v>
      </c>
      <c r="E346" s="617" t="s">
        <v>4850</v>
      </c>
      <c r="F346" s="617" t="s">
        <v>26</v>
      </c>
      <c r="G346" s="624"/>
      <c r="H346" s="669">
        <v>44483</v>
      </c>
      <c r="I346" s="617" t="s">
        <v>4873</v>
      </c>
      <c r="J346" s="617" t="s">
        <v>26</v>
      </c>
      <c r="K346" s="624"/>
      <c r="O346" s="616"/>
      <c r="P346" s="616"/>
      <c r="Q346" s="616"/>
      <c r="AA346" s="624"/>
      <c r="AB346" s="663">
        <v>39029951600</v>
      </c>
      <c r="AC346" s="663" t="s">
        <v>5277</v>
      </c>
      <c r="AD346" s="663" t="s">
        <v>4948</v>
      </c>
      <c r="AE346" s="663" t="s">
        <v>4934</v>
      </c>
      <c r="AF346" s="663" t="s">
        <v>4929</v>
      </c>
    </row>
    <row r="347" spans="1:32" s="608" customFormat="1" x14ac:dyDescent="0.25">
      <c r="A347" s="624"/>
      <c r="B347" s="617">
        <v>39025042002</v>
      </c>
      <c r="C347" s="617" t="s">
        <v>2015</v>
      </c>
      <c r="D347" s="617" t="s">
        <v>37</v>
      </c>
      <c r="E347" s="617" t="s">
        <v>4850</v>
      </c>
      <c r="F347" s="617" t="s">
        <v>26</v>
      </c>
      <c r="G347" s="624"/>
      <c r="H347" s="669">
        <v>45817</v>
      </c>
      <c r="I347" s="617" t="s">
        <v>4875</v>
      </c>
      <c r="J347" s="617" t="s">
        <v>26</v>
      </c>
      <c r="K347" s="624"/>
      <c r="O347" s="616"/>
      <c r="P347" s="616"/>
      <c r="Q347" s="616"/>
      <c r="AA347" s="624"/>
      <c r="AB347" s="663">
        <v>39029951700</v>
      </c>
      <c r="AC347" s="663" t="s">
        <v>5278</v>
      </c>
      <c r="AD347" s="663" t="s">
        <v>4950</v>
      </c>
      <c r="AE347" s="663" t="s">
        <v>4934</v>
      </c>
      <c r="AF347" s="663" t="s">
        <v>4929</v>
      </c>
    </row>
    <row r="348" spans="1:32" s="608" customFormat="1" x14ac:dyDescent="0.25">
      <c r="A348" s="624"/>
      <c r="B348" s="617">
        <v>39027964300</v>
      </c>
      <c r="C348" s="617" t="s">
        <v>2016</v>
      </c>
      <c r="D348" s="617" t="s">
        <v>38</v>
      </c>
      <c r="E348" s="617" t="s">
        <v>1672</v>
      </c>
      <c r="F348" s="617" t="s">
        <v>26</v>
      </c>
      <c r="G348" s="624"/>
      <c r="H348" s="669">
        <v>44437</v>
      </c>
      <c r="I348" s="617" t="s">
        <v>4873</v>
      </c>
      <c r="J348" s="617" t="s">
        <v>26</v>
      </c>
      <c r="K348" s="624"/>
      <c r="O348" s="616"/>
      <c r="P348" s="616"/>
      <c r="Q348" s="616"/>
      <c r="AA348" s="624"/>
      <c r="AB348" s="663">
        <v>39029951800</v>
      </c>
      <c r="AC348" s="663" t="s">
        <v>5279</v>
      </c>
      <c r="AD348" s="663" t="s">
        <v>4927</v>
      </c>
      <c r="AE348" s="663" t="s">
        <v>4934</v>
      </c>
      <c r="AF348" s="663" t="s">
        <v>4929</v>
      </c>
    </row>
    <row r="349" spans="1:32" s="608" customFormat="1" x14ac:dyDescent="0.25">
      <c r="A349" s="624"/>
      <c r="B349" s="617">
        <v>39027964400</v>
      </c>
      <c r="C349" s="617" t="s">
        <v>2017</v>
      </c>
      <c r="D349" s="617" t="s">
        <v>38</v>
      </c>
      <c r="E349" s="617" t="s">
        <v>1672</v>
      </c>
      <c r="F349" s="617" t="s">
        <v>26</v>
      </c>
      <c r="G349" s="624"/>
      <c r="H349" s="669">
        <v>44609</v>
      </c>
      <c r="I349" s="617" t="s">
        <v>4873</v>
      </c>
      <c r="J349" s="617" t="s">
        <v>26</v>
      </c>
      <c r="K349" s="624"/>
      <c r="O349" s="616"/>
      <c r="P349" s="616"/>
      <c r="Q349" s="616"/>
      <c r="AA349" s="624"/>
      <c r="AB349" s="663">
        <v>39029951900</v>
      </c>
      <c r="AC349" s="663" t="s">
        <v>5280</v>
      </c>
      <c r="AD349" s="663" t="s">
        <v>4927</v>
      </c>
      <c r="AE349" s="663" t="s">
        <v>4942</v>
      </c>
      <c r="AF349" s="663" t="s">
        <v>4929</v>
      </c>
    </row>
    <row r="350" spans="1:32" s="608" customFormat="1" x14ac:dyDescent="0.25">
      <c r="A350" s="624"/>
      <c r="B350" s="617">
        <v>39027964501</v>
      </c>
      <c r="C350" s="617" t="s">
        <v>2018</v>
      </c>
      <c r="D350" s="617" t="s">
        <v>38</v>
      </c>
      <c r="E350" s="617" t="s">
        <v>1672</v>
      </c>
      <c r="F350" s="617" t="s">
        <v>26</v>
      </c>
      <c r="G350" s="624"/>
      <c r="H350" s="669">
        <v>45372</v>
      </c>
      <c r="I350" s="617" t="s">
        <v>4876</v>
      </c>
      <c r="J350" s="617" t="s">
        <v>26</v>
      </c>
      <c r="K350" s="624"/>
      <c r="O350" s="616"/>
      <c r="P350" s="616"/>
      <c r="Q350" s="616"/>
      <c r="AA350" s="624"/>
      <c r="AB350" s="663">
        <v>39029952000</v>
      </c>
      <c r="AC350" s="663" t="s">
        <v>5281</v>
      </c>
      <c r="AD350" s="663" t="s">
        <v>4927</v>
      </c>
      <c r="AE350" s="663" t="s">
        <v>4939</v>
      </c>
      <c r="AF350" s="663" t="s">
        <v>4929</v>
      </c>
    </row>
    <row r="351" spans="1:32" s="608" customFormat="1" x14ac:dyDescent="0.25">
      <c r="A351" s="624"/>
      <c r="B351" s="617">
        <v>39027964502</v>
      </c>
      <c r="C351" s="617" t="s">
        <v>2019</v>
      </c>
      <c r="D351" s="617" t="s">
        <v>38</v>
      </c>
      <c r="E351" s="617" t="s">
        <v>1672</v>
      </c>
      <c r="F351" s="617" t="s">
        <v>26</v>
      </c>
      <c r="G351" s="624"/>
      <c r="H351" s="669">
        <v>45810</v>
      </c>
      <c r="I351" s="617" t="s">
        <v>4875</v>
      </c>
      <c r="J351" s="617" t="s">
        <v>26</v>
      </c>
      <c r="K351" s="624"/>
      <c r="O351" s="616"/>
      <c r="P351" s="616"/>
      <c r="Q351" s="616"/>
      <c r="AA351" s="624"/>
      <c r="AB351" s="663">
        <v>39029952100</v>
      </c>
      <c r="AC351" s="663" t="s">
        <v>5282</v>
      </c>
      <c r="AD351" s="663" t="s">
        <v>4927</v>
      </c>
      <c r="AE351" s="663" t="s">
        <v>4928</v>
      </c>
      <c r="AF351" s="663" t="s">
        <v>4983</v>
      </c>
    </row>
    <row r="352" spans="1:32" s="608" customFormat="1" x14ac:dyDescent="0.25">
      <c r="A352" s="624"/>
      <c r="B352" s="617">
        <v>39027964600</v>
      </c>
      <c r="C352" s="617" t="s">
        <v>2020</v>
      </c>
      <c r="D352" s="617" t="s">
        <v>38</v>
      </c>
      <c r="E352" s="617" t="s">
        <v>1672</v>
      </c>
      <c r="F352" s="617" t="s">
        <v>26</v>
      </c>
      <c r="G352" s="624"/>
      <c r="H352" s="669">
        <v>44266</v>
      </c>
      <c r="I352" s="617" t="s">
        <v>4868</v>
      </c>
      <c r="J352" s="617" t="s">
        <v>26</v>
      </c>
      <c r="K352" s="624"/>
      <c r="O352" s="616"/>
      <c r="P352" s="616"/>
      <c r="Q352" s="616"/>
      <c r="AA352" s="624"/>
      <c r="AB352" s="663">
        <v>39029952200</v>
      </c>
      <c r="AC352" s="663" t="s">
        <v>5283</v>
      </c>
      <c r="AD352" s="663" t="s">
        <v>4927</v>
      </c>
      <c r="AE352" s="663" t="s">
        <v>4934</v>
      </c>
      <c r="AF352" s="663" t="s">
        <v>4983</v>
      </c>
    </row>
    <row r="353" spans="1:32" s="608" customFormat="1" x14ac:dyDescent="0.25">
      <c r="A353" s="624"/>
      <c r="B353" s="617">
        <v>39027964700</v>
      </c>
      <c r="C353" s="617" t="s">
        <v>2021</v>
      </c>
      <c r="D353" s="617" t="s">
        <v>38</v>
      </c>
      <c r="E353" s="617" t="s">
        <v>1672</v>
      </c>
      <c r="F353" s="617" t="s">
        <v>26</v>
      </c>
      <c r="G353" s="624"/>
      <c r="H353" s="669">
        <v>44255</v>
      </c>
      <c r="I353" s="617" t="s">
        <v>4868</v>
      </c>
      <c r="J353" s="617" t="s">
        <v>26</v>
      </c>
      <c r="K353" s="624"/>
      <c r="O353" s="616"/>
      <c r="P353" s="616"/>
      <c r="Q353" s="616"/>
      <c r="AA353" s="624"/>
      <c r="AB353" s="663">
        <v>39029952300</v>
      </c>
      <c r="AC353" s="663" t="s">
        <v>5284</v>
      </c>
      <c r="AD353" s="663" t="s">
        <v>4927</v>
      </c>
      <c r="AE353" s="663" t="s">
        <v>4928</v>
      </c>
      <c r="AF353" s="663" t="s">
        <v>4983</v>
      </c>
    </row>
    <row r="354" spans="1:32" s="608" customFormat="1" x14ac:dyDescent="0.25">
      <c r="A354" s="624"/>
      <c r="B354" s="617">
        <v>39027964800</v>
      </c>
      <c r="C354" s="617" t="s">
        <v>2022</v>
      </c>
      <c r="D354" s="617" t="s">
        <v>38</v>
      </c>
      <c r="E354" s="617" t="s">
        <v>1672</v>
      </c>
      <c r="F354" s="617" t="s">
        <v>26</v>
      </c>
      <c r="G354" s="624"/>
      <c r="H354" s="669">
        <v>43440</v>
      </c>
      <c r="I354" s="617" t="s">
        <v>1676</v>
      </c>
      <c r="J354" s="617" t="s">
        <v>26</v>
      </c>
      <c r="K354" s="624"/>
      <c r="O354" s="616"/>
      <c r="P354" s="616"/>
      <c r="Q354" s="616"/>
      <c r="AA354" s="624"/>
      <c r="AB354" s="663">
        <v>39029952400</v>
      </c>
      <c r="AC354" s="663" t="s">
        <v>5285</v>
      </c>
      <c r="AD354" s="663" t="s">
        <v>4948</v>
      </c>
      <c r="AE354" s="663" t="s">
        <v>4934</v>
      </c>
      <c r="AF354" s="663" t="s">
        <v>4929</v>
      </c>
    </row>
    <row r="355" spans="1:32" s="608" customFormat="1" x14ac:dyDescent="0.25">
      <c r="A355" s="624"/>
      <c r="B355" s="617">
        <v>39027964900</v>
      </c>
      <c r="C355" s="617" t="s">
        <v>2023</v>
      </c>
      <c r="D355" s="617" t="s">
        <v>38</v>
      </c>
      <c r="E355" s="617" t="s">
        <v>1672</v>
      </c>
      <c r="F355" s="617" t="s">
        <v>26</v>
      </c>
      <c r="G355" s="624"/>
      <c r="H355" s="669">
        <v>45248</v>
      </c>
      <c r="I355" s="617" t="s">
        <v>4867</v>
      </c>
      <c r="J355" s="617" t="s">
        <v>26</v>
      </c>
      <c r="K355" s="624"/>
      <c r="O355" s="616"/>
      <c r="P355" s="616"/>
      <c r="Q355" s="616"/>
      <c r="AA355" s="624"/>
      <c r="AB355" s="663">
        <v>39031960900</v>
      </c>
      <c r="AC355" s="663" t="s">
        <v>5286</v>
      </c>
      <c r="AD355" s="663" t="s">
        <v>4950</v>
      </c>
      <c r="AE355" s="663" t="s">
        <v>4939</v>
      </c>
      <c r="AF355" s="663" t="s">
        <v>4929</v>
      </c>
    </row>
    <row r="356" spans="1:32" s="608" customFormat="1" x14ac:dyDescent="0.25">
      <c r="A356" s="624"/>
      <c r="B356" s="617">
        <v>39027965000</v>
      </c>
      <c r="C356" s="617" t="s">
        <v>2024</v>
      </c>
      <c r="D356" s="617" t="s">
        <v>38</v>
      </c>
      <c r="E356" s="617" t="s">
        <v>1672</v>
      </c>
      <c r="F356" s="617" t="s">
        <v>26</v>
      </c>
      <c r="G356" s="624"/>
      <c r="H356" s="669">
        <v>45245</v>
      </c>
      <c r="I356" s="617" t="s">
        <v>4867</v>
      </c>
      <c r="J356" s="617" t="s">
        <v>26</v>
      </c>
      <c r="K356" s="624"/>
      <c r="O356" s="616"/>
      <c r="P356" s="616"/>
      <c r="Q356" s="616"/>
      <c r="AA356" s="624"/>
      <c r="AB356" s="663">
        <v>39031961000</v>
      </c>
      <c r="AC356" s="663" t="s">
        <v>5287</v>
      </c>
      <c r="AD356" s="663" t="s">
        <v>4950</v>
      </c>
      <c r="AE356" s="663" t="s">
        <v>4931</v>
      </c>
      <c r="AF356" s="663" t="s">
        <v>4929</v>
      </c>
    </row>
    <row r="357" spans="1:32" s="608" customFormat="1" x14ac:dyDescent="0.25">
      <c r="A357" s="624"/>
      <c r="B357" s="617">
        <v>39027965100</v>
      </c>
      <c r="C357" s="617" t="s">
        <v>2025</v>
      </c>
      <c r="D357" s="617" t="s">
        <v>38</v>
      </c>
      <c r="E357" s="617" t="s">
        <v>1672</v>
      </c>
      <c r="F357" s="617" t="s">
        <v>26</v>
      </c>
      <c r="G357" s="624"/>
      <c r="H357" s="669">
        <v>45054</v>
      </c>
      <c r="I357" s="617" t="s">
        <v>4867</v>
      </c>
      <c r="J357" s="617" t="s">
        <v>26</v>
      </c>
      <c r="K357" s="624"/>
      <c r="O357" s="616"/>
      <c r="P357" s="616"/>
      <c r="Q357" s="616"/>
      <c r="AA357" s="624"/>
      <c r="AB357" s="663">
        <v>39031961100</v>
      </c>
      <c r="AC357" s="663" t="s">
        <v>5288</v>
      </c>
      <c r="AD357" s="663" t="s">
        <v>4927</v>
      </c>
      <c r="AE357" s="663" t="s">
        <v>4934</v>
      </c>
      <c r="AF357" s="663" t="s">
        <v>4929</v>
      </c>
    </row>
    <row r="358" spans="1:32" s="608" customFormat="1" x14ac:dyDescent="0.25">
      <c r="A358" s="624"/>
      <c r="B358" s="617">
        <v>39029950100</v>
      </c>
      <c r="C358" s="617" t="s">
        <v>2026</v>
      </c>
      <c r="D358" s="617" t="s">
        <v>39</v>
      </c>
      <c r="E358" s="617" t="s">
        <v>1672</v>
      </c>
      <c r="F358" s="617" t="s">
        <v>26</v>
      </c>
      <c r="G358" s="624"/>
      <c r="H358" s="669">
        <v>45342</v>
      </c>
      <c r="I358" s="617" t="s">
        <v>4867</v>
      </c>
      <c r="J358" s="617" t="s">
        <v>26</v>
      </c>
      <c r="K358" s="624"/>
      <c r="O358" s="616"/>
      <c r="P358" s="616"/>
      <c r="Q358" s="616"/>
      <c r="AA358" s="624"/>
      <c r="AB358" s="663">
        <v>39031961200</v>
      </c>
      <c r="AC358" s="663" t="s">
        <v>5289</v>
      </c>
      <c r="AD358" s="663" t="s">
        <v>4950</v>
      </c>
      <c r="AE358" s="663" t="s">
        <v>4931</v>
      </c>
      <c r="AF358" s="663" t="s">
        <v>4929</v>
      </c>
    </row>
    <row r="359" spans="1:32" s="608" customFormat="1" x14ac:dyDescent="0.25">
      <c r="A359" s="624"/>
      <c r="B359" s="617">
        <v>39029950200</v>
      </c>
      <c r="C359" s="617" t="s">
        <v>2027</v>
      </c>
      <c r="D359" s="617" t="s">
        <v>39</v>
      </c>
      <c r="E359" s="617" t="s">
        <v>1672</v>
      </c>
      <c r="F359" s="617" t="s">
        <v>26</v>
      </c>
      <c r="G359" s="624"/>
      <c r="H359" s="669">
        <v>45371</v>
      </c>
      <c r="I359" s="617" t="s">
        <v>4870</v>
      </c>
      <c r="J359" s="617" t="s">
        <v>26</v>
      </c>
      <c r="K359" s="624"/>
      <c r="O359" s="616"/>
      <c r="P359" s="616"/>
      <c r="Q359" s="616"/>
      <c r="AA359" s="624"/>
      <c r="AB359" s="663">
        <v>39031961300</v>
      </c>
      <c r="AC359" s="663" t="s">
        <v>5290</v>
      </c>
      <c r="AD359" s="663" t="s">
        <v>4927</v>
      </c>
      <c r="AE359" s="663" t="s">
        <v>4928</v>
      </c>
      <c r="AF359" s="663" t="s">
        <v>4929</v>
      </c>
    </row>
    <row r="360" spans="1:32" s="608" customFormat="1" x14ac:dyDescent="0.25">
      <c r="A360" s="624"/>
      <c r="B360" s="617">
        <v>39029950300</v>
      </c>
      <c r="C360" s="617" t="s">
        <v>2028</v>
      </c>
      <c r="D360" s="617" t="s">
        <v>39</v>
      </c>
      <c r="E360" s="617" t="s">
        <v>1672</v>
      </c>
      <c r="F360" s="617" t="s">
        <v>26</v>
      </c>
      <c r="G360" s="624"/>
      <c r="H360" s="669">
        <v>45449</v>
      </c>
      <c r="I360" s="617" t="s">
        <v>4870</v>
      </c>
      <c r="J360" s="617" t="s">
        <v>26</v>
      </c>
      <c r="K360" s="624"/>
      <c r="O360" s="616"/>
      <c r="P360" s="616"/>
      <c r="Q360" s="616"/>
      <c r="AA360" s="624"/>
      <c r="AB360" s="663">
        <v>39031961400</v>
      </c>
      <c r="AC360" s="663" t="s">
        <v>5291</v>
      </c>
      <c r="AD360" s="663" t="s">
        <v>4927</v>
      </c>
      <c r="AE360" s="663" t="s">
        <v>4934</v>
      </c>
      <c r="AF360" s="663" t="s">
        <v>4929</v>
      </c>
    </row>
    <row r="361" spans="1:32" s="608" customFormat="1" x14ac:dyDescent="0.25">
      <c r="A361" s="624"/>
      <c r="B361" s="617">
        <v>39029950400</v>
      </c>
      <c r="C361" s="617" t="s">
        <v>2029</v>
      </c>
      <c r="D361" s="617" t="s">
        <v>39</v>
      </c>
      <c r="E361" s="617" t="s">
        <v>1672</v>
      </c>
      <c r="F361" s="617" t="s">
        <v>26</v>
      </c>
      <c r="G361" s="624"/>
      <c r="H361" s="669">
        <v>45344</v>
      </c>
      <c r="I361" s="617" t="s">
        <v>4870</v>
      </c>
      <c r="J361" s="617" t="s">
        <v>26</v>
      </c>
      <c r="K361" s="624"/>
      <c r="O361" s="616"/>
      <c r="P361" s="616"/>
      <c r="Q361" s="616"/>
      <c r="AA361" s="624"/>
      <c r="AB361" s="663">
        <v>39031961500</v>
      </c>
      <c r="AC361" s="663" t="s">
        <v>5292</v>
      </c>
      <c r="AD361" s="663" t="s">
        <v>4927</v>
      </c>
      <c r="AE361" s="663" t="s">
        <v>4939</v>
      </c>
      <c r="AF361" s="663" t="s">
        <v>4983</v>
      </c>
    </row>
    <row r="362" spans="1:32" s="608" customFormat="1" x14ac:dyDescent="0.25">
      <c r="A362" s="624"/>
      <c r="B362" s="617">
        <v>39029950500</v>
      </c>
      <c r="C362" s="617" t="s">
        <v>2030</v>
      </c>
      <c r="D362" s="617" t="s">
        <v>39</v>
      </c>
      <c r="E362" s="617" t="s">
        <v>1672</v>
      </c>
      <c r="F362" s="617" t="s">
        <v>26</v>
      </c>
      <c r="G362" s="624"/>
      <c r="H362" s="669">
        <v>45370</v>
      </c>
      <c r="I362" s="617" t="s">
        <v>4870</v>
      </c>
      <c r="J362" s="617" t="s">
        <v>26</v>
      </c>
      <c r="K362" s="624"/>
      <c r="O362" s="616"/>
      <c r="P362" s="616"/>
      <c r="Q362" s="616"/>
      <c r="AA362" s="624"/>
      <c r="AB362" s="663">
        <v>39031961600</v>
      </c>
      <c r="AC362" s="663" t="s">
        <v>5293</v>
      </c>
      <c r="AD362" s="663" t="s">
        <v>4941</v>
      </c>
      <c r="AE362" s="663" t="s">
        <v>4931</v>
      </c>
      <c r="AF362" s="663" t="s">
        <v>4929</v>
      </c>
    </row>
    <row r="363" spans="1:32" s="608" customFormat="1" x14ac:dyDescent="0.25">
      <c r="A363" s="624"/>
      <c r="B363" s="617">
        <v>39029950600</v>
      </c>
      <c r="C363" s="617" t="s">
        <v>2031</v>
      </c>
      <c r="D363" s="617" t="s">
        <v>39</v>
      </c>
      <c r="E363" s="617" t="s">
        <v>1672</v>
      </c>
      <c r="F363" s="617" t="s">
        <v>26</v>
      </c>
      <c r="G363" s="624"/>
      <c r="H363" s="669">
        <v>45317</v>
      </c>
      <c r="I363" s="617" t="s">
        <v>4870</v>
      </c>
      <c r="J363" s="617" t="s">
        <v>26</v>
      </c>
      <c r="K363" s="624"/>
      <c r="O363" s="616"/>
      <c r="P363" s="616"/>
      <c r="Q363" s="616"/>
      <c r="AA363" s="624"/>
      <c r="AB363" s="663">
        <v>39031961700</v>
      </c>
      <c r="AC363" s="663" t="s">
        <v>5294</v>
      </c>
      <c r="AD363" s="663" t="s">
        <v>4941</v>
      </c>
      <c r="AE363" s="663" t="s">
        <v>4928</v>
      </c>
      <c r="AF363" s="663" t="s">
        <v>4929</v>
      </c>
    </row>
    <row r="364" spans="1:32" s="608" customFormat="1" x14ac:dyDescent="0.25">
      <c r="A364" s="624"/>
      <c r="B364" s="617">
        <v>39029950700</v>
      </c>
      <c r="C364" s="617" t="s">
        <v>2032</v>
      </c>
      <c r="D364" s="617" t="s">
        <v>39</v>
      </c>
      <c r="E364" s="617" t="s">
        <v>1672</v>
      </c>
      <c r="F364" s="617" t="s">
        <v>26</v>
      </c>
      <c r="G364" s="624"/>
      <c r="H364" s="669">
        <v>43219</v>
      </c>
      <c r="I364" s="617" t="s">
        <v>4871</v>
      </c>
      <c r="J364" s="617" t="s">
        <v>26</v>
      </c>
      <c r="K364" s="624"/>
      <c r="O364" s="616"/>
      <c r="P364" s="616"/>
      <c r="Q364" s="616"/>
      <c r="AA364" s="624"/>
      <c r="AB364" s="663">
        <v>39031961800</v>
      </c>
      <c r="AC364" s="663" t="s">
        <v>5295</v>
      </c>
      <c r="AD364" s="663" t="s">
        <v>4950</v>
      </c>
      <c r="AE364" s="663" t="s">
        <v>4928</v>
      </c>
      <c r="AF364" s="663" t="s">
        <v>4929</v>
      </c>
    </row>
    <row r="365" spans="1:32" s="608" customFormat="1" x14ac:dyDescent="0.25">
      <c r="A365" s="624"/>
      <c r="B365" s="617">
        <v>39029950800</v>
      </c>
      <c r="C365" s="617" t="s">
        <v>2033</v>
      </c>
      <c r="D365" s="617" t="s">
        <v>39</v>
      </c>
      <c r="E365" s="617" t="s">
        <v>1672</v>
      </c>
      <c r="F365" s="617" t="s">
        <v>26</v>
      </c>
      <c r="G365" s="624"/>
      <c r="H365" s="669">
        <v>43107</v>
      </c>
      <c r="I365" s="617" t="s">
        <v>4871</v>
      </c>
      <c r="J365" s="617" t="s">
        <v>26</v>
      </c>
      <c r="K365" s="624"/>
      <c r="O365" s="616"/>
      <c r="P365" s="616"/>
      <c r="Q365" s="616"/>
      <c r="AA365" s="624"/>
      <c r="AB365" s="663">
        <v>39033974100</v>
      </c>
      <c r="AC365" s="663" t="s">
        <v>5296</v>
      </c>
      <c r="AD365" s="663" t="s">
        <v>4948</v>
      </c>
      <c r="AE365" s="663" t="s">
        <v>4928</v>
      </c>
      <c r="AF365" s="663" t="s">
        <v>4929</v>
      </c>
    </row>
    <row r="366" spans="1:32" s="608" customFormat="1" x14ac:dyDescent="0.25">
      <c r="A366" s="624"/>
      <c r="B366" s="617">
        <v>39029950900</v>
      </c>
      <c r="C366" s="617" t="s">
        <v>2034</v>
      </c>
      <c r="D366" s="617" t="s">
        <v>39</v>
      </c>
      <c r="E366" s="617" t="s">
        <v>1672</v>
      </c>
      <c r="F366" s="617" t="s">
        <v>26</v>
      </c>
      <c r="G366" s="624"/>
      <c r="H366" s="669">
        <v>43217</v>
      </c>
      <c r="I366" s="617" t="s">
        <v>4871</v>
      </c>
      <c r="J366" s="617" t="s">
        <v>26</v>
      </c>
      <c r="K366" s="624"/>
      <c r="O366" s="616"/>
      <c r="P366" s="616"/>
      <c r="Q366" s="616"/>
      <c r="AA366" s="624"/>
      <c r="AB366" s="663">
        <v>39033974200</v>
      </c>
      <c r="AC366" s="663" t="s">
        <v>5297</v>
      </c>
      <c r="AD366" s="663" t="s">
        <v>4948</v>
      </c>
      <c r="AE366" s="663" t="s">
        <v>4934</v>
      </c>
      <c r="AF366" s="663" t="s">
        <v>4929</v>
      </c>
    </row>
    <row r="367" spans="1:32" s="608" customFormat="1" x14ac:dyDescent="0.25">
      <c r="A367" s="624"/>
      <c r="B367" s="617">
        <v>39029951000</v>
      </c>
      <c r="C367" s="617" t="s">
        <v>2035</v>
      </c>
      <c r="D367" s="617" t="s">
        <v>39</v>
      </c>
      <c r="E367" s="617" t="s">
        <v>1672</v>
      </c>
      <c r="F367" s="617" t="s">
        <v>26</v>
      </c>
      <c r="G367" s="624"/>
      <c r="H367" s="669">
        <v>44143</v>
      </c>
      <c r="I367" s="617" t="s">
        <v>4869</v>
      </c>
      <c r="J367" s="617" t="s">
        <v>26</v>
      </c>
      <c r="K367" s="624"/>
      <c r="O367" s="616"/>
      <c r="P367" s="616"/>
      <c r="Q367" s="616"/>
      <c r="AA367" s="624"/>
      <c r="AB367" s="663">
        <v>39033974300</v>
      </c>
      <c r="AC367" s="663" t="s">
        <v>5298</v>
      </c>
      <c r="AD367" s="663" t="s">
        <v>4948</v>
      </c>
      <c r="AE367" s="663" t="s">
        <v>4942</v>
      </c>
      <c r="AF367" s="663" t="s">
        <v>4929</v>
      </c>
    </row>
    <row r="368" spans="1:32" s="608" customFormat="1" x14ac:dyDescent="0.25">
      <c r="A368" s="624"/>
      <c r="B368" s="617">
        <v>39029951100</v>
      </c>
      <c r="C368" s="617" t="s">
        <v>2036</v>
      </c>
      <c r="D368" s="617" t="s">
        <v>39</v>
      </c>
      <c r="E368" s="617" t="s">
        <v>1672</v>
      </c>
      <c r="F368" s="617" t="s">
        <v>26</v>
      </c>
      <c r="G368" s="624"/>
      <c r="H368" s="669">
        <v>44017</v>
      </c>
      <c r="I368" s="617" t="s">
        <v>4869</v>
      </c>
      <c r="J368" s="617" t="s">
        <v>26</v>
      </c>
      <c r="K368" s="624"/>
      <c r="O368" s="616"/>
      <c r="P368" s="616"/>
      <c r="Q368" s="616"/>
      <c r="AA368" s="624"/>
      <c r="AB368" s="663">
        <v>39033974400</v>
      </c>
      <c r="AC368" s="663" t="s">
        <v>5299</v>
      </c>
      <c r="AD368" s="663" t="s">
        <v>4950</v>
      </c>
      <c r="AE368" s="663" t="s">
        <v>4934</v>
      </c>
      <c r="AF368" s="663" t="s">
        <v>4929</v>
      </c>
    </row>
    <row r="369" spans="1:32" s="608" customFormat="1" x14ac:dyDescent="0.25">
      <c r="A369" s="624"/>
      <c r="B369" s="617">
        <v>39029951200</v>
      </c>
      <c r="C369" s="617" t="s">
        <v>2037</v>
      </c>
      <c r="D369" s="617" t="s">
        <v>39</v>
      </c>
      <c r="E369" s="617" t="s">
        <v>1672</v>
      </c>
      <c r="F369" s="617" t="s">
        <v>26</v>
      </c>
      <c r="G369" s="624"/>
      <c r="H369" s="669">
        <v>43614</v>
      </c>
      <c r="I369" s="617" t="s">
        <v>4872</v>
      </c>
      <c r="J369" s="617" t="s">
        <v>26</v>
      </c>
      <c r="K369" s="624"/>
      <c r="O369" s="616"/>
      <c r="P369" s="616"/>
      <c r="Q369" s="616"/>
      <c r="AA369" s="624"/>
      <c r="AB369" s="663">
        <v>39033974500</v>
      </c>
      <c r="AC369" s="663" t="s">
        <v>5300</v>
      </c>
      <c r="AD369" s="663" t="s">
        <v>4948</v>
      </c>
      <c r="AE369" s="663" t="s">
        <v>4942</v>
      </c>
      <c r="AF369" s="663" t="s">
        <v>4983</v>
      </c>
    </row>
    <row r="370" spans="1:32" s="608" customFormat="1" x14ac:dyDescent="0.25">
      <c r="A370" s="624"/>
      <c r="B370" s="617">
        <v>39029951300</v>
      </c>
      <c r="C370" s="617" t="s">
        <v>2038</v>
      </c>
      <c r="D370" s="617" t="s">
        <v>39</v>
      </c>
      <c r="E370" s="617" t="s">
        <v>1672</v>
      </c>
      <c r="F370" s="617" t="s">
        <v>26</v>
      </c>
      <c r="G370" s="624"/>
      <c r="H370" s="669">
        <v>43606</v>
      </c>
      <c r="I370" s="617" t="s">
        <v>4872</v>
      </c>
      <c r="J370" s="617" t="s">
        <v>26</v>
      </c>
      <c r="K370" s="624"/>
      <c r="O370" s="616"/>
      <c r="P370" s="616"/>
      <c r="Q370" s="616"/>
      <c r="AA370" s="624"/>
      <c r="AB370" s="663">
        <v>39033974600</v>
      </c>
      <c r="AC370" s="663" t="s">
        <v>5301</v>
      </c>
      <c r="AD370" s="663" t="s">
        <v>4950</v>
      </c>
      <c r="AE370" s="663" t="s">
        <v>4934</v>
      </c>
      <c r="AF370" s="663" t="s">
        <v>4929</v>
      </c>
    </row>
    <row r="371" spans="1:32" s="608" customFormat="1" x14ac:dyDescent="0.25">
      <c r="A371" s="624"/>
      <c r="B371" s="617">
        <v>39029951401</v>
      </c>
      <c r="C371" s="617" t="s">
        <v>2039</v>
      </c>
      <c r="D371" s="617" t="s">
        <v>39</v>
      </c>
      <c r="E371" s="617" t="s">
        <v>1672</v>
      </c>
      <c r="F371" s="617" t="s">
        <v>26</v>
      </c>
      <c r="G371" s="624"/>
      <c r="H371" s="669">
        <v>44708</v>
      </c>
      <c r="I371" s="617" t="s">
        <v>4874</v>
      </c>
      <c r="J371" s="617" t="s">
        <v>26</v>
      </c>
      <c r="K371" s="624"/>
      <c r="O371" s="616"/>
      <c r="P371" s="616"/>
      <c r="Q371" s="616"/>
      <c r="AA371" s="624"/>
      <c r="AB371" s="663">
        <v>39033974700</v>
      </c>
      <c r="AC371" s="663" t="s">
        <v>5302</v>
      </c>
      <c r="AD371" s="663" t="s">
        <v>4948</v>
      </c>
      <c r="AE371" s="663" t="s">
        <v>4942</v>
      </c>
      <c r="AF371" s="663" t="s">
        <v>4929</v>
      </c>
    </row>
    <row r="372" spans="1:32" s="608" customFormat="1" x14ac:dyDescent="0.25">
      <c r="A372" s="624"/>
      <c r="B372" s="617">
        <v>39029951402</v>
      </c>
      <c r="C372" s="617" t="s">
        <v>2040</v>
      </c>
      <c r="D372" s="617" t="s">
        <v>39</v>
      </c>
      <c r="E372" s="617" t="s">
        <v>1672</v>
      </c>
      <c r="F372" s="617" t="s">
        <v>26</v>
      </c>
      <c r="G372" s="624"/>
      <c r="H372" s="669">
        <v>44721</v>
      </c>
      <c r="I372" s="617" t="s">
        <v>4874</v>
      </c>
      <c r="J372" s="617" t="s">
        <v>26</v>
      </c>
      <c r="K372" s="624"/>
      <c r="O372" s="616"/>
      <c r="P372" s="616"/>
      <c r="Q372" s="616"/>
      <c r="AA372" s="624"/>
      <c r="AB372" s="663">
        <v>39033974800</v>
      </c>
      <c r="AC372" s="663" t="s">
        <v>5303</v>
      </c>
      <c r="AD372" s="663" t="s">
        <v>4927</v>
      </c>
      <c r="AE372" s="663" t="s">
        <v>4928</v>
      </c>
      <c r="AF372" s="663" t="s">
        <v>4929</v>
      </c>
    </row>
    <row r="373" spans="1:32" s="608" customFormat="1" x14ac:dyDescent="0.25">
      <c r="A373" s="624"/>
      <c r="B373" s="617">
        <v>39029951500</v>
      </c>
      <c r="C373" s="617" t="s">
        <v>2041</v>
      </c>
      <c r="D373" s="617" t="s">
        <v>39</v>
      </c>
      <c r="E373" s="617" t="s">
        <v>1672</v>
      </c>
      <c r="F373" s="617" t="s">
        <v>26</v>
      </c>
      <c r="G373" s="624"/>
      <c r="H373" s="669">
        <v>44710</v>
      </c>
      <c r="I373" s="617" t="s">
        <v>4874</v>
      </c>
      <c r="J373" s="617" t="s">
        <v>26</v>
      </c>
      <c r="K373" s="624"/>
      <c r="O373" s="616"/>
      <c r="P373" s="616"/>
      <c r="Q373" s="616"/>
      <c r="AA373" s="624"/>
      <c r="AB373" s="663">
        <v>39033974900</v>
      </c>
      <c r="AC373" s="663" t="s">
        <v>5304</v>
      </c>
      <c r="AD373" s="663" t="s">
        <v>4950</v>
      </c>
      <c r="AE373" s="663" t="s">
        <v>4928</v>
      </c>
      <c r="AF373" s="663" t="s">
        <v>4929</v>
      </c>
    </row>
    <row r="374" spans="1:32" s="608" customFormat="1" x14ac:dyDescent="0.25">
      <c r="A374" s="624"/>
      <c r="B374" s="617">
        <v>39029951600</v>
      </c>
      <c r="C374" s="617" t="s">
        <v>2042</v>
      </c>
      <c r="D374" s="617" t="s">
        <v>39</v>
      </c>
      <c r="E374" s="617" t="s">
        <v>1672</v>
      </c>
      <c r="F374" s="617" t="s">
        <v>26</v>
      </c>
      <c r="G374" s="624"/>
      <c r="H374" s="669">
        <v>44620</v>
      </c>
      <c r="I374" s="617" t="s">
        <v>4874</v>
      </c>
      <c r="J374" s="617" t="s">
        <v>26</v>
      </c>
      <c r="K374" s="624"/>
      <c r="O374" s="616"/>
      <c r="P374" s="616"/>
      <c r="Q374" s="616"/>
      <c r="AA374" s="624"/>
      <c r="AB374" s="663">
        <v>39033975000</v>
      </c>
      <c r="AC374" s="663" t="s">
        <v>5305</v>
      </c>
      <c r="AD374" s="663" t="s">
        <v>4950</v>
      </c>
      <c r="AE374" s="663" t="s">
        <v>4928</v>
      </c>
      <c r="AF374" s="663" t="s">
        <v>4929</v>
      </c>
    </row>
    <row r="375" spans="1:32" s="608" customFormat="1" x14ac:dyDescent="0.25">
      <c r="A375" s="624"/>
      <c r="B375" s="617">
        <v>39029951700</v>
      </c>
      <c r="C375" s="617" t="s">
        <v>2043</v>
      </c>
      <c r="D375" s="617" t="s">
        <v>39</v>
      </c>
      <c r="E375" s="617" t="s">
        <v>1672</v>
      </c>
      <c r="F375" s="617" t="s">
        <v>26</v>
      </c>
      <c r="G375" s="624"/>
      <c r="H375" s="669">
        <v>44625</v>
      </c>
      <c r="I375" s="617" t="s">
        <v>4874</v>
      </c>
      <c r="J375" s="617" t="s">
        <v>26</v>
      </c>
      <c r="K375" s="624"/>
      <c r="O375" s="616"/>
      <c r="P375" s="616"/>
      <c r="Q375" s="616"/>
      <c r="AA375" s="624"/>
      <c r="AB375" s="663">
        <v>39033975100</v>
      </c>
      <c r="AC375" s="663" t="s">
        <v>5306</v>
      </c>
      <c r="AD375" s="663" t="s">
        <v>4927</v>
      </c>
      <c r="AE375" s="663" t="s">
        <v>4939</v>
      </c>
      <c r="AF375" s="663" t="s">
        <v>4983</v>
      </c>
    </row>
    <row r="376" spans="1:32" s="608" customFormat="1" x14ac:dyDescent="0.25">
      <c r="A376" s="624"/>
      <c r="B376" s="617">
        <v>39029951800</v>
      </c>
      <c r="C376" s="617" t="s">
        <v>2044</v>
      </c>
      <c r="D376" s="617" t="s">
        <v>39</v>
      </c>
      <c r="E376" s="617" t="s">
        <v>1672</v>
      </c>
      <c r="F376" s="617" t="s">
        <v>24</v>
      </c>
      <c r="G376" s="624"/>
      <c r="H376" s="669">
        <v>44903</v>
      </c>
      <c r="I376" s="617" t="s">
        <v>4877</v>
      </c>
      <c r="J376" s="617" t="s">
        <v>26</v>
      </c>
      <c r="K376" s="624"/>
      <c r="O376" s="616"/>
      <c r="P376" s="616"/>
      <c r="Q376" s="616"/>
      <c r="AA376" s="624"/>
      <c r="AB376" s="663">
        <v>39033975200</v>
      </c>
      <c r="AC376" s="663" t="s">
        <v>5307</v>
      </c>
      <c r="AD376" s="663" t="s">
        <v>4948</v>
      </c>
      <c r="AE376" s="663" t="s">
        <v>4942</v>
      </c>
      <c r="AF376" s="663" t="s">
        <v>4929</v>
      </c>
    </row>
    <row r="377" spans="1:32" s="608" customFormat="1" x14ac:dyDescent="0.25">
      <c r="A377" s="624"/>
      <c r="B377" s="617">
        <v>39029951900</v>
      </c>
      <c r="C377" s="617" t="s">
        <v>2045</v>
      </c>
      <c r="D377" s="617" t="s">
        <v>39</v>
      </c>
      <c r="E377" s="617" t="s">
        <v>1672</v>
      </c>
      <c r="F377" s="617" t="s">
        <v>26</v>
      </c>
      <c r="G377" s="624"/>
      <c r="H377" s="669">
        <v>44875</v>
      </c>
      <c r="I377" s="617" t="s">
        <v>4877</v>
      </c>
      <c r="J377" s="617" t="s">
        <v>26</v>
      </c>
      <c r="K377" s="624"/>
      <c r="O377" s="616"/>
      <c r="P377" s="616"/>
      <c r="Q377" s="616"/>
      <c r="AA377" s="624"/>
      <c r="AB377" s="663">
        <v>39033975300</v>
      </c>
      <c r="AC377" s="663" t="s">
        <v>5308</v>
      </c>
      <c r="AD377" s="663" t="s">
        <v>4927</v>
      </c>
      <c r="AE377" s="663" t="s">
        <v>4934</v>
      </c>
      <c r="AF377" s="663" t="s">
        <v>4929</v>
      </c>
    </row>
    <row r="378" spans="1:32" s="608" customFormat="1" x14ac:dyDescent="0.25">
      <c r="A378" s="624"/>
      <c r="B378" s="617">
        <v>39029952000</v>
      </c>
      <c r="C378" s="617" t="s">
        <v>2046</v>
      </c>
      <c r="D378" s="617" t="s">
        <v>39</v>
      </c>
      <c r="E378" s="617" t="s">
        <v>1672</v>
      </c>
      <c r="F378" s="617" t="s">
        <v>26</v>
      </c>
      <c r="G378" s="624"/>
      <c r="H378" s="669">
        <v>45121</v>
      </c>
      <c r="I378" s="617" t="s">
        <v>1674</v>
      </c>
      <c r="J378" s="617" t="s">
        <v>26</v>
      </c>
      <c r="K378" s="624"/>
      <c r="O378" s="616"/>
      <c r="P378" s="616"/>
      <c r="Q378" s="616"/>
      <c r="AA378" s="624"/>
      <c r="AB378" s="663">
        <v>39035101101</v>
      </c>
      <c r="AC378" s="663" t="s">
        <v>5309</v>
      </c>
      <c r="AD378" s="663" t="s">
        <v>4927</v>
      </c>
      <c r="AE378" s="663" t="s">
        <v>4939</v>
      </c>
      <c r="AF378" s="663" t="s">
        <v>4962</v>
      </c>
    </row>
    <row r="379" spans="1:32" s="608" customFormat="1" x14ac:dyDescent="0.25">
      <c r="A379" s="624"/>
      <c r="B379" s="617">
        <v>39029952100</v>
      </c>
      <c r="C379" s="617" t="s">
        <v>2047</v>
      </c>
      <c r="D379" s="617" t="s">
        <v>39</v>
      </c>
      <c r="E379" s="617" t="s">
        <v>1672</v>
      </c>
      <c r="F379" s="617" t="s">
        <v>24</v>
      </c>
      <c r="G379" s="624"/>
      <c r="H379" s="669">
        <v>44062</v>
      </c>
      <c r="I379" s="617" t="s">
        <v>4873</v>
      </c>
      <c r="J379" s="617" t="s">
        <v>26</v>
      </c>
      <c r="K379" s="624"/>
      <c r="O379" s="616"/>
      <c r="P379" s="616"/>
      <c r="Q379" s="616"/>
      <c r="AA379" s="624"/>
      <c r="AB379" s="663">
        <v>39035101102</v>
      </c>
      <c r="AC379" s="663" t="s">
        <v>5310</v>
      </c>
      <c r="AD379" s="663" t="s">
        <v>4938</v>
      </c>
      <c r="AE379" s="663" t="s">
        <v>4939</v>
      </c>
      <c r="AF379" s="663" t="s">
        <v>4962</v>
      </c>
    </row>
    <row r="380" spans="1:32" s="608" customFormat="1" x14ac:dyDescent="0.25">
      <c r="A380" s="624"/>
      <c r="B380" s="617">
        <v>39029952200</v>
      </c>
      <c r="C380" s="617" t="s">
        <v>2048</v>
      </c>
      <c r="D380" s="617" t="s">
        <v>39</v>
      </c>
      <c r="E380" s="617" t="s">
        <v>1672</v>
      </c>
      <c r="F380" s="617" t="s">
        <v>24</v>
      </c>
      <c r="G380" s="624"/>
      <c r="H380" s="669">
        <v>44901</v>
      </c>
      <c r="I380" s="617" t="s">
        <v>4877</v>
      </c>
      <c r="J380" s="617" t="s">
        <v>26</v>
      </c>
      <c r="K380" s="624"/>
      <c r="O380" s="616"/>
      <c r="P380" s="616"/>
      <c r="Q380" s="616"/>
      <c r="AA380" s="624"/>
      <c r="AB380" s="663">
        <v>39035101200</v>
      </c>
      <c r="AC380" s="663" t="s">
        <v>5311</v>
      </c>
      <c r="AD380" s="663" t="s">
        <v>4948</v>
      </c>
      <c r="AE380" s="663" t="s">
        <v>4939</v>
      </c>
      <c r="AF380" s="663" t="s">
        <v>4962</v>
      </c>
    </row>
    <row r="381" spans="1:32" s="608" customFormat="1" x14ac:dyDescent="0.25">
      <c r="A381" s="624"/>
      <c r="B381" s="617">
        <v>39029952300</v>
      </c>
      <c r="C381" s="617" t="s">
        <v>2049</v>
      </c>
      <c r="D381" s="617" t="s">
        <v>39</v>
      </c>
      <c r="E381" s="617" t="s">
        <v>1672</v>
      </c>
      <c r="F381" s="617" t="s">
        <v>24</v>
      </c>
      <c r="G381" s="624"/>
      <c r="H381" s="669">
        <v>44865</v>
      </c>
      <c r="I381" s="617" t="s">
        <v>4877</v>
      </c>
      <c r="J381" s="617" t="s">
        <v>26</v>
      </c>
      <c r="K381" s="624"/>
      <c r="O381" s="616"/>
      <c r="P381" s="616"/>
      <c r="Q381" s="616"/>
      <c r="AA381" s="624"/>
      <c r="AB381" s="663">
        <v>39035101300</v>
      </c>
      <c r="AC381" s="663" t="s">
        <v>5312</v>
      </c>
      <c r="AD381" s="663" t="s">
        <v>4948</v>
      </c>
      <c r="AE381" s="663" t="s">
        <v>4939</v>
      </c>
      <c r="AF381" s="663" t="s">
        <v>4962</v>
      </c>
    </row>
    <row r="382" spans="1:32" s="608" customFormat="1" x14ac:dyDescent="0.25">
      <c r="A382" s="624"/>
      <c r="B382" s="617">
        <v>39029952400</v>
      </c>
      <c r="C382" s="617" t="s">
        <v>2050</v>
      </c>
      <c r="D382" s="617" t="s">
        <v>39</v>
      </c>
      <c r="E382" s="617" t="s">
        <v>1672</v>
      </c>
      <c r="F382" s="617" t="s">
        <v>26</v>
      </c>
      <c r="G382" s="624"/>
      <c r="H382" s="669">
        <v>44503</v>
      </c>
      <c r="I382" s="617" t="s">
        <v>4873</v>
      </c>
      <c r="J382" s="617" t="s">
        <v>26</v>
      </c>
      <c r="K382" s="624"/>
      <c r="O382" s="616"/>
      <c r="P382" s="616"/>
      <c r="Q382" s="616"/>
      <c r="AA382" s="624"/>
      <c r="AB382" s="663">
        <v>39035101400</v>
      </c>
      <c r="AC382" s="663" t="s">
        <v>5313</v>
      </c>
      <c r="AD382" s="663" t="s">
        <v>4950</v>
      </c>
      <c r="AE382" s="663" t="s">
        <v>4928</v>
      </c>
      <c r="AF382" s="663" t="s">
        <v>4962</v>
      </c>
    </row>
    <row r="383" spans="1:32" s="608" customFormat="1" x14ac:dyDescent="0.25">
      <c r="A383" s="624"/>
      <c r="B383" s="617">
        <v>39031960900</v>
      </c>
      <c r="C383" s="617" t="s">
        <v>2051</v>
      </c>
      <c r="D383" s="617" t="s">
        <v>40</v>
      </c>
      <c r="E383" s="617" t="s">
        <v>1672</v>
      </c>
      <c r="F383" s="617" t="s">
        <v>26</v>
      </c>
      <c r="G383" s="624"/>
      <c r="H383" s="669">
        <v>44449</v>
      </c>
      <c r="I383" s="617" t="s">
        <v>4873</v>
      </c>
      <c r="J383" s="617" t="s">
        <v>26</v>
      </c>
      <c r="K383" s="624"/>
      <c r="O383" s="616"/>
      <c r="P383" s="616"/>
      <c r="Q383" s="616"/>
      <c r="AA383" s="624"/>
      <c r="AB383" s="663">
        <v>39035101501</v>
      </c>
      <c r="AC383" s="663" t="s">
        <v>5314</v>
      </c>
      <c r="AD383" s="663" t="s">
        <v>4950</v>
      </c>
      <c r="AE383" s="663" t="s">
        <v>4942</v>
      </c>
      <c r="AF383" s="663" t="s">
        <v>4962</v>
      </c>
    </row>
    <row r="384" spans="1:32" s="608" customFormat="1" x14ac:dyDescent="0.25">
      <c r="A384" s="624"/>
      <c r="B384" s="617">
        <v>39031961000</v>
      </c>
      <c r="C384" s="617" t="s">
        <v>2052</v>
      </c>
      <c r="D384" s="617" t="s">
        <v>40</v>
      </c>
      <c r="E384" s="617" t="s">
        <v>1672</v>
      </c>
      <c r="F384" s="617" t="s">
        <v>26</v>
      </c>
      <c r="G384" s="624"/>
      <c r="H384" s="669">
        <v>45231</v>
      </c>
      <c r="I384" s="617" t="s">
        <v>4867</v>
      </c>
      <c r="J384" s="617" t="s">
        <v>26</v>
      </c>
      <c r="K384" s="624"/>
      <c r="O384" s="616"/>
      <c r="P384" s="616"/>
      <c r="Q384" s="616"/>
      <c r="AA384" s="624"/>
      <c r="AB384" s="663">
        <v>39035101603</v>
      </c>
      <c r="AC384" s="663" t="s">
        <v>5315</v>
      </c>
      <c r="AD384" s="663" t="s">
        <v>4950</v>
      </c>
      <c r="AE384" s="663" t="s">
        <v>4939</v>
      </c>
      <c r="AF384" s="663" t="s">
        <v>4962</v>
      </c>
    </row>
    <row r="385" spans="1:32" s="608" customFormat="1" x14ac:dyDescent="0.25">
      <c r="A385" s="624"/>
      <c r="B385" s="617">
        <v>39031961100</v>
      </c>
      <c r="C385" s="617" t="s">
        <v>2053</v>
      </c>
      <c r="D385" s="617" t="s">
        <v>40</v>
      </c>
      <c r="E385" s="617" t="s">
        <v>1672</v>
      </c>
      <c r="F385" s="617" t="s">
        <v>26</v>
      </c>
      <c r="G385" s="624"/>
      <c r="H385" s="669">
        <v>41018</v>
      </c>
      <c r="I385" s="617" t="s">
        <v>4867</v>
      </c>
      <c r="J385" s="617" t="s">
        <v>26</v>
      </c>
      <c r="K385" s="624"/>
      <c r="O385" s="616"/>
      <c r="P385" s="616"/>
      <c r="Q385" s="616"/>
      <c r="AA385" s="624"/>
      <c r="AB385" s="663">
        <v>39035101700</v>
      </c>
      <c r="AC385" s="663" t="s">
        <v>5316</v>
      </c>
      <c r="AD385" s="663" t="s">
        <v>4950</v>
      </c>
      <c r="AE385" s="663" t="s">
        <v>4928</v>
      </c>
      <c r="AF385" s="663" t="s">
        <v>4962</v>
      </c>
    </row>
    <row r="386" spans="1:32" s="608" customFormat="1" x14ac:dyDescent="0.25">
      <c r="A386" s="624"/>
      <c r="B386" s="617">
        <v>39031961200</v>
      </c>
      <c r="C386" s="617" t="s">
        <v>2054</v>
      </c>
      <c r="D386" s="617" t="s">
        <v>40</v>
      </c>
      <c r="E386" s="617" t="s">
        <v>1672</v>
      </c>
      <c r="F386" s="617" t="s">
        <v>26</v>
      </c>
      <c r="G386" s="624"/>
      <c r="H386" s="669">
        <v>41001</v>
      </c>
      <c r="I386" s="617" t="s">
        <v>4867</v>
      </c>
      <c r="J386" s="617" t="s">
        <v>26</v>
      </c>
      <c r="K386" s="624"/>
      <c r="O386" s="616"/>
      <c r="P386" s="616"/>
      <c r="Q386" s="616"/>
      <c r="AA386" s="624"/>
      <c r="AB386" s="663">
        <v>39035101800</v>
      </c>
      <c r="AC386" s="663" t="s">
        <v>5317</v>
      </c>
      <c r="AD386" s="663" t="s">
        <v>4950</v>
      </c>
      <c r="AE386" s="663" t="s">
        <v>4939</v>
      </c>
      <c r="AF386" s="663" t="s">
        <v>4962</v>
      </c>
    </row>
    <row r="387" spans="1:32" s="608" customFormat="1" x14ac:dyDescent="0.25">
      <c r="A387" s="624"/>
      <c r="B387" s="617">
        <v>39031961300</v>
      </c>
      <c r="C387" s="617" t="s">
        <v>2055</v>
      </c>
      <c r="D387" s="617" t="s">
        <v>40</v>
      </c>
      <c r="E387" s="617" t="s">
        <v>1672</v>
      </c>
      <c r="F387" s="617" t="s">
        <v>24</v>
      </c>
      <c r="G387" s="624"/>
      <c r="H387" s="669">
        <v>45015</v>
      </c>
      <c r="I387" s="617" t="s">
        <v>4867</v>
      </c>
      <c r="J387" s="617" t="s">
        <v>26</v>
      </c>
      <c r="K387" s="624"/>
      <c r="O387" s="616"/>
      <c r="P387" s="616"/>
      <c r="Q387" s="616"/>
      <c r="AA387" s="624"/>
      <c r="AB387" s="663">
        <v>39035101901</v>
      </c>
      <c r="AC387" s="663" t="s">
        <v>5318</v>
      </c>
      <c r="AD387" s="663" t="s">
        <v>4941</v>
      </c>
      <c r="AE387" s="663" t="s">
        <v>4928</v>
      </c>
      <c r="AF387" s="663" t="s">
        <v>4962</v>
      </c>
    </row>
    <row r="388" spans="1:32" s="608" customFormat="1" x14ac:dyDescent="0.25">
      <c r="A388" s="624"/>
      <c r="B388" s="617">
        <v>39031961400</v>
      </c>
      <c r="C388" s="617" t="s">
        <v>2056</v>
      </c>
      <c r="D388" s="617" t="s">
        <v>40</v>
      </c>
      <c r="E388" s="617" t="s">
        <v>1672</v>
      </c>
      <c r="F388" s="617" t="s">
        <v>24</v>
      </c>
      <c r="G388" s="624"/>
      <c r="H388" s="669">
        <v>45068</v>
      </c>
      <c r="I388" s="617" t="s">
        <v>4867</v>
      </c>
      <c r="J388" s="617" t="s">
        <v>26</v>
      </c>
      <c r="K388" s="624"/>
      <c r="O388" s="616"/>
      <c r="P388" s="616"/>
      <c r="Q388" s="616"/>
      <c r="AA388" s="624"/>
      <c r="AB388" s="663">
        <v>39035102101</v>
      </c>
      <c r="AC388" s="663" t="s">
        <v>5319</v>
      </c>
      <c r="AD388" s="663" t="s">
        <v>4948</v>
      </c>
      <c r="AE388" s="663" t="s">
        <v>4931</v>
      </c>
      <c r="AF388" s="663" t="s">
        <v>4962</v>
      </c>
    </row>
    <row r="389" spans="1:32" s="608" customFormat="1" x14ac:dyDescent="0.25">
      <c r="A389" s="624"/>
      <c r="B389" s="617">
        <v>39031961500</v>
      </c>
      <c r="C389" s="617" t="s">
        <v>2057</v>
      </c>
      <c r="D389" s="617" t="s">
        <v>40</v>
      </c>
      <c r="E389" s="617" t="s">
        <v>1672</v>
      </c>
      <c r="F389" s="617" t="s">
        <v>26</v>
      </c>
      <c r="G389" s="624"/>
      <c r="H389" s="669">
        <v>43228</v>
      </c>
      <c r="I389" s="617" t="s">
        <v>4871</v>
      </c>
      <c r="J389" s="617" t="s">
        <v>26</v>
      </c>
      <c r="K389" s="624"/>
      <c r="O389" s="616"/>
      <c r="P389" s="616"/>
      <c r="Q389" s="616"/>
      <c r="AA389" s="624"/>
      <c r="AB389" s="663">
        <v>39035102102</v>
      </c>
      <c r="AC389" s="663" t="s">
        <v>5320</v>
      </c>
      <c r="AD389" s="663" t="s">
        <v>4941</v>
      </c>
      <c r="AE389" s="663" t="s">
        <v>4928</v>
      </c>
      <c r="AF389" s="663" t="s">
        <v>4962</v>
      </c>
    </row>
    <row r="390" spans="1:32" s="608" customFormat="1" x14ac:dyDescent="0.25">
      <c r="A390" s="624"/>
      <c r="B390" s="617">
        <v>39031961600</v>
      </c>
      <c r="C390" s="617" t="s">
        <v>2058</v>
      </c>
      <c r="D390" s="617" t="s">
        <v>40</v>
      </c>
      <c r="E390" s="617" t="s">
        <v>1672</v>
      </c>
      <c r="F390" s="617" t="s">
        <v>26</v>
      </c>
      <c r="G390" s="624"/>
      <c r="H390" s="669">
        <v>43136</v>
      </c>
      <c r="I390" s="617" t="s">
        <v>4871</v>
      </c>
      <c r="J390" s="617" t="s">
        <v>26</v>
      </c>
      <c r="K390" s="624"/>
      <c r="O390" s="616"/>
      <c r="P390" s="616"/>
      <c r="Q390" s="616"/>
      <c r="AA390" s="624"/>
      <c r="AB390" s="663">
        <v>39035102200</v>
      </c>
      <c r="AC390" s="663" t="s">
        <v>5321</v>
      </c>
      <c r="AD390" s="663" t="s">
        <v>4941</v>
      </c>
      <c r="AE390" s="663" t="s">
        <v>4939</v>
      </c>
      <c r="AF390" s="663" t="s">
        <v>4962</v>
      </c>
    </row>
    <row r="391" spans="1:32" s="608" customFormat="1" x14ac:dyDescent="0.25">
      <c r="A391" s="624"/>
      <c r="B391" s="617">
        <v>39031961700</v>
      </c>
      <c r="C391" s="617" t="s">
        <v>2059</v>
      </c>
      <c r="D391" s="617" t="s">
        <v>40</v>
      </c>
      <c r="E391" s="617" t="s">
        <v>1672</v>
      </c>
      <c r="F391" s="617" t="s">
        <v>26</v>
      </c>
      <c r="G391" s="624"/>
      <c r="H391" s="669">
        <v>44203</v>
      </c>
      <c r="I391" s="617" t="s">
        <v>4869</v>
      </c>
      <c r="J391" s="617" t="s">
        <v>26</v>
      </c>
      <c r="K391" s="624"/>
      <c r="O391" s="616"/>
      <c r="P391" s="616"/>
      <c r="Q391" s="616"/>
      <c r="AA391" s="624"/>
      <c r="AB391" s="663">
        <v>39035102300</v>
      </c>
      <c r="AC391" s="663" t="s">
        <v>5322</v>
      </c>
      <c r="AD391" s="663" t="s">
        <v>4948</v>
      </c>
      <c r="AE391" s="663" t="s">
        <v>4928</v>
      </c>
      <c r="AF391" s="663" t="s">
        <v>4962</v>
      </c>
    </row>
    <row r="392" spans="1:32" s="608" customFormat="1" x14ac:dyDescent="0.25">
      <c r="A392" s="624"/>
      <c r="B392" s="617">
        <v>39031961800</v>
      </c>
      <c r="C392" s="617" t="s">
        <v>2060</v>
      </c>
      <c r="D392" s="617" t="s">
        <v>40</v>
      </c>
      <c r="E392" s="617" t="s">
        <v>1672</v>
      </c>
      <c r="F392" s="617" t="s">
        <v>26</v>
      </c>
      <c r="G392" s="624"/>
      <c r="H392" s="669">
        <v>43532</v>
      </c>
      <c r="I392" s="617" t="s">
        <v>4872</v>
      </c>
      <c r="J392" s="617" t="s">
        <v>26</v>
      </c>
      <c r="K392" s="624"/>
      <c r="O392" s="616"/>
      <c r="P392" s="616"/>
      <c r="Q392" s="616"/>
      <c r="AA392" s="624"/>
      <c r="AB392" s="663">
        <v>39035102401</v>
      </c>
      <c r="AC392" s="663" t="s">
        <v>5323</v>
      </c>
      <c r="AD392" s="663" t="s">
        <v>4950</v>
      </c>
      <c r="AE392" s="663" t="s">
        <v>4934</v>
      </c>
      <c r="AF392" s="663" t="s">
        <v>4962</v>
      </c>
    </row>
    <row r="393" spans="1:32" s="608" customFormat="1" x14ac:dyDescent="0.25">
      <c r="A393" s="624"/>
      <c r="B393" s="617">
        <v>39033974100</v>
      </c>
      <c r="C393" s="617" t="s">
        <v>2061</v>
      </c>
      <c r="D393" s="617" t="s">
        <v>41</v>
      </c>
      <c r="E393" s="617" t="s">
        <v>1672</v>
      </c>
      <c r="F393" s="617" t="s">
        <v>26</v>
      </c>
      <c r="G393" s="624"/>
      <c r="H393" s="669">
        <v>44718</v>
      </c>
      <c r="I393" s="617" t="s">
        <v>4874</v>
      </c>
      <c r="J393" s="617" t="s">
        <v>26</v>
      </c>
      <c r="K393" s="624"/>
      <c r="O393" s="616"/>
      <c r="P393" s="616"/>
      <c r="Q393" s="616"/>
      <c r="AA393" s="624"/>
      <c r="AB393" s="663">
        <v>39035102402</v>
      </c>
      <c r="AC393" s="663" t="s">
        <v>5324</v>
      </c>
      <c r="AD393" s="663" t="s">
        <v>4950</v>
      </c>
      <c r="AE393" s="663" t="s">
        <v>5006</v>
      </c>
      <c r="AF393" s="663" t="s">
        <v>4962</v>
      </c>
    </row>
    <row r="394" spans="1:32" s="608" customFormat="1" x14ac:dyDescent="0.25">
      <c r="A394" s="624"/>
      <c r="B394" s="617">
        <v>39033974200</v>
      </c>
      <c r="C394" s="617" t="s">
        <v>2062</v>
      </c>
      <c r="D394" s="617" t="s">
        <v>41</v>
      </c>
      <c r="E394" s="617" t="s">
        <v>1672</v>
      </c>
      <c r="F394" s="617" t="s">
        <v>26</v>
      </c>
      <c r="G394" s="624"/>
      <c r="H394" s="669">
        <v>45011</v>
      </c>
      <c r="I394" s="617" t="s">
        <v>4867</v>
      </c>
      <c r="J394" s="617" t="s">
        <v>26</v>
      </c>
      <c r="K394" s="624"/>
      <c r="O394" s="616"/>
      <c r="P394" s="616"/>
      <c r="Q394" s="616"/>
      <c r="AA394" s="624"/>
      <c r="AB394" s="663">
        <v>39035102700</v>
      </c>
      <c r="AC394" s="663" t="s">
        <v>5325</v>
      </c>
      <c r="AD394" s="663" t="s">
        <v>4950</v>
      </c>
      <c r="AE394" s="663" t="s">
        <v>4942</v>
      </c>
      <c r="AF394" s="663" t="s">
        <v>4962</v>
      </c>
    </row>
    <row r="395" spans="1:32" s="608" customFormat="1" x14ac:dyDescent="0.25">
      <c r="A395" s="624"/>
      <c r="B395" s="617">
        <v>39033974300</v>
      </c>
      <c r="C395" s="617" t="s">
        <v>2063</v>
      </c>
      <c r="D395" s="617" t="s">
        <v>41</v>
      </c>
      <c r="E395" s="617" t="s">
        <v>1672</v>
      </c>
      <c r="F395" s="617" t="s">
        <v>26</v>
      </c>
      <c r="G395" s="624"/>
      <c r="H395" s="669">
        <v>45036</v>
      </c>
      <c r="I395" s="617" t="s">
        <v>4867</v>
      </c>
      <c r="J395" s="617" t="s">
        <v>26</v>
      </c>
      <c r="K395" s="624"/>
      <c r="O395" s="616"/>
      <c r="P395" s="616"/>
      <c r="Q395" s="616"/>
      <c r="AA395" s="624"/>
      <c r="AB395" s="663">
        <v>39035102800</v>
      </c>
      <c r="AC395" s="663" t="s">
        <v>5326</v>
      </c>
      <c r="AD395" s="663" t="s">
        <v>4950</v>
      </c>
      <c r="AE395" s="663" t="s">
        <v>4934</v>
      </c>
      <c r="AF395" s="663" t="s">
        <v>4962</v>
      </c>
    </row>
    <row r="396" spans="1:32" s="608" customFormat="1" x14ac:dyDescent="0.25">
      <c r="A396" s="624"/>
      <c r="B396" s="617">
        <v>39033974400</v>
      </c>
      <c r="C396" s="617" t="s">
        <v>2064</v>
      </c>
      <c r="D396" s="617" t="s">
        <v>41</v>
      </c>
      <c r="E396" s="617" t="s">
        <v>1672</v>
      </c>
      <c r="F396" s="617" t="s">
        <v>26</v>
      </c>
      <c r="G396" s="624"/>
      <c r="H396" s="669">
        <v>45215</v>
      </c>
      <c r="I396" s="617" t="s">
        <v>4867</v>
      </c>
      <c r="J396" s="617" t="s">
        <v>26</v>
      </c>
      <c r="K396" s="624"/>
      <c r="O396" s="616"/>
      <c r="P396" s="616"/>
      <c r="Q396" s="616"/>
      <c r="AA396" s="624"/>
      <c r="AB396" s="663">
        <v>39035102900</v>
      </c>
      <c r="AC396" s="663" t="s">
        <v>5327</v>
      </c>
      <c r="AD396" s="663" t="s">
        <v>4948</v>
      </c>
      <c r="AE396" s="663" t="s">
        <v>4931</v>
      </c>
      <c r="AF396" s="663" t="s">
        <v>4962</v>
      </c>
    </row>
    <row r="397" spans="1:32" s="608" customFormat="1" x14ac:dyDescent="0.25">
      <c r="A397" s="624"/>
      <c r="B397" s="617">
        <v>39033974500</v>
      </c>
      <c r="C397" s="617" t="s">
        <v>2065</v>
      </c>
      <c r="D397" s="617" t="s">
        <v>41</v>
      </c>
      <c r="E397" s="617" t="s">
        <v>1672</v>
      </c>
      <c r="F397" s="617" t="s">
        <v>26</v>
      </c>
      <c r="G397" s="624"/>
      <c r="H397" s="669">
        <v>45042</v>
      </c>
      <c r="I397" s="617" t="s">
        <v>4867</v>
      </c>
      <c r="J397" s="617" t="s">
        <v>26</v>
      </c>
      <c r="K397" s="624"/>
      <c r="O397" s="616"/>
      <c r="P397" s="616"/>
      <c r="Q397" s="616"/>
      <c r="AA397" s="624"/>
      <c r="AB397" s="663">
        <v>39035103100</v>
      </c>
      <c r="AC397" s="663" t="s">
        <v>5328</v>
      </c>
      <c r="AD397" s="663" t="s">
        <v>4938</v>
      </c>
      <c r="AE397" s="663" t="s">
        <v>4939</v>
      </c>
      <c r="AF397" s="663" t="s">
        <v>4962</v>
      </c>
    </row>
    <row r="398" spans="1:32" s="608" customFormat="1" x14ac:dyDescent="0.25">
      <c r="A398" s="624"/>
      <c r="B398" s="617">
        <v>39033974600</v>
      </c>
      <c r="C398" s="617" t="s">
        <v>2066</v>
      </c>
      <c r="D398" s="617" t="s">
        <v>41</v>
      </c>
      <c r="E398" s="617" t="s">
        <v>1672</v>
      </c>
      <c r="F398" s="617" t="s">
        <v>26</v>
      </c>
      <c r="G398" s="624"/>
      <c r="H398" s="669">
        <v>45102</v>
      </c>
      <c r="I398" s="617" t="s">
        <v>4867</v>
      </c>
      <c r="J398" s="617" t="s">
        <v>26</v>
      </c>
      <c r="K398" s="624"/>
      <c r="O398" s="616"/>
      <c r="P398" s="616"/>
      <c r="Q398" s="616"/>
      <c r="AA398" s="624"/>
      <c r="AB398" s="663">
        <v>39035103300</v>
      </c>
      <c r="AC398" s="663" t="s">
        <v>5329</v>
      </c>
      <c r="AD398" s="663" t="s">
        <v>4950</v>
      </c>
      <c r="AE398" s="663" t="s">
        <v>4942</v>
      </c>
      <c r="AF398" s="663" t="s">
        <v>4962</v>
      </c>
    </row>
    <row r="399" spans="1:32" s="608" customFormat="1" x14ac:dyDescent="0.25">
      <c r="A399" s="624"/>
      <c r="B399" s="617">
        <v>39033974700</v>
      </c>
      <c r="C399" s="617" t="s">
        <v>2067</v>
      </c>
      <c r="D399" s="617" t="s">
        <v>41</v>
      </c>
      <c r="E399" s="617" t="s">
        <v>1672</v>
      </c>
      <c r="F399" s="617" t="s">
        <v>26</v>
      </c>
      <c r="G399" s="624"/>
      <c r="H399" s="669">
        <v>45206</v>
      </c>
      <c r="I399" s="617" t="s">
        <v>4867</v>
      </c>
      <c r="J399" s="617" t="s">
        <v>26</v>
      </c>
      <c r="K399" s="624"/>
      <c r="O399" s="616"/>
      <c r="P399" s="616"/>
      <c r="Q399" s="616"/>
      <c r="AA399" s="624"/>
      <c r="AB399" s="663">
        <v>39035103400</v>
      </c>
      <c r="AC399" s="663" t="s">
        <v>5330</v>
      </c>
      <c r="AD399" s="663" t="s">
        <v>4948</v>
      </c>
      <c r="AE399" s="663" t="s">
        <v>4939</v>
      </c>
      <c r="AF399" s="663" t="s">
        <v>4962</v>
      </c>
    </row>
    <row r="400" spans="1:32" s="608" customFormat="1" x14ac:dyDescent="0.25">
      <c r="A400" s="624"/>
      <c r="B400" s="617">
        <v>39033974800</v>
      </c>
      <c r="C400" s="617" t="s">
        <v>2068</v>
      </c>
      <c r="D400" s="617" t="s">
        <v>41</v>
      </c>
      <c r="E400" s="617" t="s">
        <v>1672</v>
      </c>
      <c r="F400" s="617" t="s">
        <v>24</v>
      </c>
      <c r="G400" s="624"/>
      <c r="H400" s="669">
        <v>41074</v>
      </c>
      <c r="I400" s="617" t="s">
        <v>4867</v>
      </c>
      <c r="J400" s="617" t="s">
        <v>26</v>
      </c>
      <c r="K400" s="624"/>
      <c r="O400" s="616"/>
      <c r="P400" s="616"/>
      <c r="Q400" s="616"/>
      <c r="AA400" s="624"/>
      <c r="AB400" s="663">
        <v>39035103500</v>
      </c>
      <c r="AC400" s="663" t="s">
        <v>5331</v>
      </c>
      <c r="AD400" s="663" t="s">
        <v>4938</v>
      </c>
      <c r="AE400" s="663" t="s">
        <v>5332</v>
      </c>
      <c r="AF400" s="663" t="s">
        <v>4962</v>
      </c>
    </row>
    <row r="401" spans="1:32" s="608" customFormat="1" x14ac:dyDescent="0.25">
      <c r="A401" s="624"/>
      <c r="B401" s="617">
        <v>39033974900</v>
      </c>
      <c r="C401" s="617" t="s">
        <v>2069</v>
      </c>
      <c r="D401" s="617" t="s">
        <v>41</v>
      </c>
      <c r="E401" s="617" t="s">
        <v>1672</v>
      </c>
      <c r="F401" s="617" t="s">
        <v>26</v>
      </c>
      <c r="G401" s="624"/>
      <c r="H401" s="669">
        <v>44406</v>
      </c>
      <c r="I401" s="617" t="s">
        <v>4873</v>
      </c>
      <c r="J401" s="617" t="s">
        <v>26</v>
      </c>
      <c r="K401" s="624"/>
      <c r="O401" s="616"/>
      <c r="P401" s="616"/>
      <c r="Q401" s="616"/>
      <c r="AA401" s="624"/>
      <c r="AB401" s="663">
        <v>39035103602</v>
      </c>
      <c r="AC401" s="663" t="s">
        <v>5333</v>
      </c>
      <c r="AD401" s="663" t="s">
        <v>4938</v>
      </c>
      <c r="AE401" s="663" t="s">
        <v>4939</v>
      </c>
      <c r="AF401" s="663" t="s">
        <v>4962</v>
      </c>
    </row>
    <row r="402" spans="1:32" s="608" customFormat="1" x14ac:dyDescent="0.25">
      <c r="A402" s="624"/>
      <c r="B402" s="617">
        <v>39033975000</v>
      </c>
      <c r="C402" s="617" t="s">
        <v>2070</v>
      </c>
      <c r="D402" s="617" t="s">
        <v>41</v>
      </c>
      <c r="E402" s="617" t="s">
        <v>1672</v>
      </c>
      <c r="F402" s="617" t="s">
        <v>26</v>
      </c>
      <c r="G402" s="624"/>
      <c r="H402" s="669">
        <v>45505</v>
      </c>
      <c r="I402" s="617" t="s">
        <v>4876</v>
      </c>
      <c r="J402" s="617" t="s">
        <v>26</v>
      </c>
      <c r="K402" s="624"/>
      <c r="O402" s="616"/>
      <c r="P402" s="616"/>
      <c r="Q402" s="616"/>
      <c r="AA402" s="624"/>
      <c r="AB402" s="663">
        <v>39035103800</v>
      </c>
      <c r="AC402" s="663" t="s">
        <v>5334</v>
      </c>
      <c r="AD402" s="663" t="s">
        <v>4948</v>
      </c>
      <c r="AE402" s="663" t="s">
        <v>4942</v>
      </c>
      <c r="AF402" s="663" t="s">
        <v>4962</v>
      </c>
    </row>
    <row r="403" spans="1:32" s="608" customFormat="1" x14ac:dyDescent="0.25">
      <c r="A403" s="624"/>
      <c r="B403" s="617">
        <v>39033975100</v>
      </c>
      <c r="C403" s="617" t="s">
        <v>2071</v>
      </c>
      <c r="D403" s="617" t="s">
        <v>41</v>
      </c>
      <c r="E403" s="617" t="s">
        <v>1672</v>
      </c>
      <c r="F403" s="617" t="s">
        <v>26</v>
      </c>
      <c r="G403" s="624"/>
      <c r="H403" s="669">
        <v>44905</v>
      </c>
      <c r="I403" s="617" t="s">
        <v>4877</v>
      </c>
      <c r="J403" s="617" t="s">
        <v>26</v>
      </c>
      <c r="K403" s="624"/>
      <c r="O403" s="616"/>
      <c r="P403" s="616"/>
      <c r="Q403" s="616"/>
      <c r="AA403" s="624"/>
      <c r="AB403" s="663">
        <v>39035103900</v>
      </c>
      <c r="AC403" s="663" t="s">
        <v>5335</v>
      </c>
      <c r="AD403" s="663" t="s">
        <v>4941</v>
      </c>
      <c r="AE403" s="663" t="s">
        <v>4939</v>
      </c>
      <c r="AF403" s="663" t="s">
        <v>4962</v>
      </c>
    </row>
    <row r="404" spans="1:32" s="608" customFormat="1" x14ac:dyDescent="0.25">
      <c r="A404" s="624"/>
      <c r="B404" s="617">
        <v>39033975200</v>
      </c>
      <c r="C404" s="617" t="s">
        <v>2072</v>
      </c>
      <c r="D404" s="617" t="s">
        <v>41</v>
      </c>
      <c r="E404" s="617" t="s">
        <v>1672</v>
      </c>
      <c r="F404" s="617" t="s">
        <v>26</v>
      </c>
      <c r="G404" s="624"/>
      <c r="H404" s="669">
        <v>44904</v>
      </c>
      <c r="I404" s="617" t="s">
        <v>4877</v>
      </c>
      <c r="J404" s="617" t="s">
        <v>26</v>
      </c>
      <c r="K404" s="624"/>
      <c r="O404" s="616"/>
      <c r="P404" s="616"/>
      <c r="Q404" s="616"/>
      <c r="AA404" s="624"/>
      <c r="AB404" s="663">
        <v>39035104100</v>
      </c>
      <c r="AC404" s="663" t="s">
        <v>5336</v>
      </c>
      <c r="AD404" s="663" t="s">
        <v>4941</v>
      </c>
      <c r="AE404" s="663" t="s">
        <v>5332</v>
      </c>
      <c r="AF404" s="663" t="s">
        <v>4962</v>
      </c>
    </row>
    <row r="405" spans="1:32" s="608" customFormat="1" x14ac:dyDescent="0.25">
      <c r="A405" s="624"/>
      <c r="B405" s="617">
        <v>39033975300</v>
      </c>
      <c r="C405" s="617" t="s">
        <v>2073</v>
      </c>
      <c r="D405" s="617" t="s">
        <v>41</v>
      </c>
      <c r="E405" s="617" t="s">
        <v>1672</v>
      </c>
      <c r="F405" s="617" t="s">
        <v>24</v>
      </c>
      <c r="G405" s="624"/>
      <c r="H405" s="669">
        <v>44430</v>
      </c>
      <c r="I405" s="617" t="s">
        <v>4873</v>
      </c>
      <c r="J405" s="617" t="s">
        <v>26</v>
      </c>
      <c r="K405" s="624"/>
      <c r="O405" s="616"/>
      <c r="P405" s="616"/>
      <c r="Q405" s="616"/>
      <c r="AA405" s="624"/>
      <c r="AB405" s="663">
        <v>39035104200</v>
      </c>
      <c r="AC405" s="663" t="s">
        <v>5337</v>
      </c>
      <c r="AD405" s="663" t="s">
        <v>4938</v>
      </c>
      <c r="AE405" s="663" t="s">
        <v>4939</v>
      </c>
      <c r="AF405" s="663" t="s">
        <v>4962</v>
      </c>
    </row>
    <row r="406" spans="1:32" s="608" customFormat="1" x14ac:dyDescent="0.25">
      <c r="A406" s="624"/>
      <c r="B406" s="617">
        <v>39035101101</v>
      </c>
      <c r="C406" s="617" t="s">
        <v>2074</v>
      </c>
      <c r="D406" s="617" t="s">
        <v>42</v>
      </c>
      <c r="E406" s="617" t="s">
        <v>4853</v>
      </c>
      <c r="F406" s="617" t="s">
        <v>24</v>
      </c>
      <c r="G406" s="624"/>
      <c r="H406" s="669">
        <v>44418</v>
      </c>
      <c r="I406" s="617" t="s">
        <v>4873</v>
      </c>
      <c r="J406" s="617" t="s">
        <v>26</v>
      </c>
      <c r="K406" s="624"/>
      <c r="O406" s="616"/>
      <c r="P406" s="616"/>
      <c r="Q406" s="616"/>
      <c r="AA406" s="624"/>
      <c r="AB406" s="663">
        <v>39035104300</v>
      </c>
      <c r="AC406" s="663" t="s">
        <v>5338</v>
      </c>
      <c r="AD406" s="663" t="s">
        <v>4938</v>
      </c>
      <c r="AE406" s="663" t="s">
        <v>4939</v>
      </c>
      <c r="AF406" s="663" t="s">
        <v>4962</v>
      </c>
    </row>
    <row r="407" spans="1:32" s="608" customFormat="1" x14ac:dyDescent="0.25">
      <c r="A407" s="624"/>
      <c r="B407" s="617">
        <v>39035101102</v>
      </c>
      <c r="C407" s="617" t="s">
        <v>2075</v>
      </c>
      <c r="D407" s="617" t="s">
        <v>42</v>
      </c>
      <c r="E407" s="617" t="s">
        <v>4853</v>
      </c>
      <c r="F407" s="617" t="s">
        <v>26</v>
      </c>
      <c r="G407" s="624"/>
      <c r="H407" s="669">
        <v>44827</v>
      </c>
      <c r="I407" s="617" t="s">
        <v>4877</v>
      </c>
      <c r="J407" s="617" t="s">
        <v>26</v>
      </c>
      <c r="K407" s="624"/>
      <c r="O407" s="616"/>
      <c r="P407" s="616"/>
      <c r="Q407" s="616"/>
      <c r="AA407" s="624"/>
      <c r="AB407" s="663">
        <v>39035104400</v>
      </c>
      <c r="AC407" s="663" t="s">
        <v>5339</v>
      </c>
      <c r="AD407" s="663" t="s">
        <v>4938</v>
      </c>
      <c r="AE407" s="663" t="s">
        <v>4939</v>
      </c>
      <c r="AF407" s="663" t="s">
        <v>4962</v>
      </c>
    </row>
    <row r="408" spans="1:32" s="608" customFormat="1" x14ac:dyDescent="0.25">
      <c r="A408" s="624"/>
      <c r="B408" s="617">
        <v>39035101201</v>
      </c>
      <c r="C408" s="617" t="s">
        <v>2076</v>
      </c>
      <c r="D408" s="617" t="s">
        <v>42</v>
      </c>
      <c r="E408" s="617" t="s">
        <v>4853</v>
      </c>
      <c r="F408" s="617" t="s">
        <v>24</v>
      </c>
      <c r="G408" s="624"/>
      <c r="H408" s="669">
        <v>44490</v>
      </c>
      <c r="I408" s="617" t="s">
        <v>4873</v>
      </c>
      <c r="J408" s="617" t="s">
        <v>26</v>
      </c>
      <c r="K408" s="624"/>
      <c r="O408" s="616"/>
      <c r="P408" s="616"/>
      <c r="Q408" s="616"/>
      <c r="AA408" s="624"/>
      <c r="AB408" s="663">
        <v>39035104600</v>
      </c>
      <c r="AC408" s="663" t="s">
        <v>5340</v>
      </c>
      <c r="AD408" s="663" t="s">
        <v>4927</v>
      </c>
      <c r="AE408" s="663" t="s">
        <v>4928</v>
      </c>
      <c r="AF408" s="663" t="s">
        <v>4962</v>
      </c>
    </row>
    <row r="409" spans="1:32" s="608" customFormat="1" x14ac:dyDescent="0.25">
      <c r="A409" s="624"/>
      <c r="B409" s="617">
        <v>39035101300</v>
      </c>
      <c r="C409" s="617" t="s">
        <v>2077</v>
      </c>
      <c r="D409" s="617" t="s">
        <v>42</v>
      </c>
      <c r="E409" s="617" t="s">
        <v>4853</v>
      </c>
      <c r="F409" s="617" t="s">
        <v>24</v>
      </c>
      <c r="G409" s="624"/>
      <c r="H409" s="669">
        <v>43209</v>
      </c>
      <c r="I409" s="617" t="s">
        <v>4871</v>
      </c>
      <c r="J409" s="617" t="s">
        <v>26</v>
      </c>
      <c r="K409" s="624"/>
      <c r="O409" s="616"/>
      <c r="P409" s="616"/>
      <c r="Q409" s="616"/>
      <c r="AA409" s="624"/>
      <c r="AB409" s="663">
        <v>39035104800</v>
      </c>
      <c r="AC409" s="663" t="s">
        <v>5341</v>
      </c>
      <c r="AD409" s="663" t="s">
        <v>4941</v>
      </c>
      <c r="AE409" s="663" t="s">
        <v>4939</v>
      </c>
      <c r="AF409" s="663" t="s">
        <v>4962</v>
      </c>
    </row>
    <row r="410" spans="1:32" s="608" customFormat="1" x14ac:dyDescent="0.25">
      <c r="A410" s="624"/>
      <c r="B410" s="617">
        <v>39035101400</v>
      </c>
      <c r="C410" s="617" t="s">
        <v>2078</v>
      </c>
      <c r="D410" s="617" t="s">
        <v>42</v>
      </c>
      <c r="E410" s="617" t="s">
        <v>4853</v>
      </c>
      <c r="F410" s="617" t="s">
        <v>24</v>
      </c>
      <c r="G410" s="624"/>
      <c r="H410" s="669">
        <v>43056</v>
      </c>
      <c r="I410" s="617" t="s">
        <v>4871</v>
      </c>
      <c r="J410" s="617" t="s">
        <v>26</v>
      </c>
      <c r="K410" s="624"/>
      <c r="O410" s="616"/>
      <c r="P410" s="616"/>
      <c r="Q410" s="616"/>
      <c r="AA410" s="624"/>
      <c r="AB410" s="663">
        <v>39035104900</v>
      </c>
      <c r="AC410" s="663" t="s">
        <v>5342</v>
      </c>
      <c r="AD410" s="663" t="s">
        <v>4948</v>
      </c>
      <c r="AE410" s="663" t="s">
        <v>4942</v>
      </c>
      <c r="AF410" s="663" t="s">
        <v>4962</v>
      </c>
    </row>
    <row r="411" spans="1:32" s="608" customFormat="1" x14ac:dyDescent="0.25">
      <c r="A411" s="624"/>
      <c r="B411" s="617">
        <v>39035101501</v>
      </c>
      <c r="C411" s="617" t="s">
        <v>2079</v>
      </c>
      <c r="D411" s="617" t="s">
        <v>42</v>
      </c>
      <c r="E411" s="617" t="s">
        <v>4853</v>
      </c>
      <c r="F411" s="617" t="s">
        <v>24</v>
      </c>
      <c r="G411" s="624"/>
      <c r="H411" s="669">
        <v>43740</v>
      </c>
      <c r="I411" s="617" t="s">
        <v>4871</v>
      </c>
      <c r="J411" s="617" t="s">
        <v>26</v>
      </c>
      <c r="K411" s="624"/>
      <c r="O411" s="616"/>
      <c r="P411" s="616"/>
      <c r="Q411" s="616"/>
      <c r="AA411" s="624"/>
      <c r="AB411" s="663">
        <v>39035105100</v>
      </c>
      <c r="AC411" s="663" t="s">
        <v>5343</v>
      </c>
      <c r="AD411" s="663" t="s">
        <v>4948</v>
      </c>
      <c r="AE411" s="663" t="s">
        <v>4939</v>
      </c>
      <c r="AF411" s="663" t="s">
        <v>4962</v>
      </c>
    </row>
    <row r="412" spans="1:32" s="608" customFormat="1" x14ac:dyDescent="0.25">
      <c r="A412" s="624"/>
      <c r="B412" s="617">
        <v>39035101603</v>
      </c>
      <c r="C412" s="617" t="s">
        <v>2080</v>
      </c>
      <c r="D412" s="617" t="s">
        <v>42</v>
      </c>
      <c r="E412" s="617" t="s">
        <v>4853</v>
      </c>
      <c r="F412" s="617" t="s">
        <v>24</v>
      </c>
      <c r="G412" s="624"/>
      <c r="H412" s="669">
        <v>44305</v>
      </c>
      <c r="I412" s="617" t="s">
        <v>4868</v>
      </c>
      <c r="J412" s="617" t="s">
        <v>26</v>
      </c>
      <c r="K412" s="624"/>
      <c r="O412" s="616"/>
      <c r="P412" s="616"/>
      <c r="Q412" s="616"/>
      <c r="AA412" s="624"/>
      <c r="AB412" s="663">
        <v>39035105300</v>
      </c>
      <c r="AC412" s="663" t="s">
        <v>5344</v>
      </c>
      <c r="AD412" s="663" t="s">
        <v>4941</v>
      </c>
      <c r="AE412" s="663" t="s">
        <v>4939</v>
      </c>
      <c r="AF412" s="663" t="s">
        <v>4962</v>
      </c>
    </row>
    <row r="413" spans="1:32" s="608" customFormat="1" x14ac:dyDescent="0.25">
      <c r="A413" s="624"/>
      <c r="B413" s="617">
        <v>39035101700</v>
      </c>
      <c r="C413" s="617" t="s">
        <v>2081</v>
      </c>
      <c r="D413" s="617" t="s">
        <v>42</v>
      </c>
      <c r="E413" s="617" t="s">
        <v>4853</v>
      </c>
      <c r="F413" s="617" t="s">
        <v>24</v>
      </c>
      <c r="G413" s="624"/>
      <c r="H413" s="669">
        <v>44288</v>
      </c>
      <c r="I413" s="617" t="s">
        <v>4868</v>
      </c>
      <c r="J413" s="617" t="s">
        <v>26</v>
      </c>
      <c r="K413" s="624"/>
      <c r="O413" s="616"/>
      <c r="P413" s="616"/>
      <c r="Q413" s="616"/>
      <c r="AA413" s="624"/>
      <c r="AB413" s="663">
        <v>39035105400</v>
      </c>
      <c r="AC413" s="663" t="s">
        <v>5345</v>
      </c>
      <c r="AD413" s="663" t="s">
        <v>4948</v>
      </c>
      <c r="AE413" s="663" t="s">
        <v>4934</v>
      </c>
      <c r="AF413" s="663" t="s">
        <v>4962</v>
      </c>
    </row>
    <row r="414" spans="1:32" s="608" customFormat="1" x14ac:dyDescent="0.25">
      <c r="A414" s="624"/>
      <c r="B414" s="617">
        <v>39035101800</v>
      </c>
      <c r="C414" s="617" t="s">
        <v>2082</v>
      </c>
      <c r="D414" s="617" t="s">
        <v>42</v>
      </c>
      <c r="E414" s="617" t="s">
        <v>4853</v>
      </c>
      <c r="F414" s="617" t="s">
        <v>24</v>
      </c>
      <c r="G414" s="624"/>
      <c r="H414" s="669">
        <v>44614</v>
      </c>
      <c r="I414" s="617" t="s">
        <v>4868</v>
      </c>
      <c r="J414" s="617" t="s">
        <v>26</v>
      </c>
      <c r="K414" s="624"/>
      <c r="O414" s="616"/>
      <c r="P414" s="616"/>
      <c r="Q414" s="616"/>
      <c r="AA414" s="624"/>
      <c r="AB414" s="663">
        <v>39035105500</v>
      </c>
      <c r="AC414" s="663" t="s">
        <v>5346</v>
      </c>
      <c r="AD414" s="663" t="s">
        <v>4948</v>
      </c>
      <c r="AE414" s="663" t="s">
        <v>4931</v>
      </c>
      <c r="AF414" s="663" t="s">
        <v>4962</v>
      </c>
    </row>
    <row r="415" spans="1:32" s="608" customFormat="1" x14ac:dyDescent="0.25">
      <c r="A415" s="624"/>
      <c r="B415" s="617">
        <v>39035101901</v>
      </c>
      <c r="C415" s="617" t="s">
        <v>2083</v>
      </c>
      <c r="D415" s="617" t="s">
        <v>42</v>
      </c>
      <c r="E415" s="617" t="s">
        <v>4853</v>
      </c>
      <c r="F415" s="617" t="s">
        <v>24</v>
      </c>
      <c r="G415" s="624"/>
      <c r="H415" s="669">
        <v>43127</v>
      </c>
      <c r="I415" s="617" t="s">
        <v>1675</v>
      </c>
      <c r="J415" s="617" t="s">
        <v>26</v>
      </c>
      <c r="K415" s="624"/>
      <c r="O415" s="616"/>
      <c r="P415" s="616"/>
      <c r="Q415" s="616"/>
      <c r="AA415" s="624"/>
      <c r="AB415" s="663">
        <v>39035105602</v>
      </c>
      <c r="AC415" s="663" t="s">
        <v>5347</v>
      </c>
      <c r="AD415" s="663" t="s">
        <v>4950</v>
      </c>
      <c r="AE415" s="663" t="s">
        <v>4928</v>
      </c>
      <c r="AF415" s="663" t="s">
        <v>4962</v>
      </c>
    </row>
    <row r="416" spans="1:32" s="608" customFormat="1" x14ac:dyDescent="0.25">
      <c r="A416" s="624"/>
      <c r="B416" s="617">
        <v>39035102101</v>
      </c>
      <c r="C416" s="617" t="s">
        <v>2084</v>
      </c>
      <c r="D416" s="617" t="s">
        <v>42</v>
      </c>
      <c r="E416" s="617" t="s">
        <v>4853</v>
      </c>
      <c r="F416" s="617" t="s">
        <v>24</v>
      </c>
      <c r="G416" s="624"/>
      <c r="H416" s="669">
        <v>43158</v>
      </c>
      <c r="I416" s="617" t="s">
        <v>1675</v>
      </c>
      <c r="J416" s="617" t="s">
        <v>26</v>
      </c>
      <c r="K416" s="624"/>
      <c r="O416" s="616"/>
      <c r="P416" s="616"/>
      <c r="Q416" s="616"/>
      <c r="AA416" s="624"/>
      <c r="AB416" s="663">
        <v>39035105700</v>
      </c>
      <c r="AC416" s="663" t="s">
        <v>5348</v>
      </c>
      <c r="AD416" s="663" t="s">
        <v>4948</v>
      </c>
      <c r="AE416" s="663" t="s">
        <v>4928</v>
      </c>
      <c r="AF416" s="663" t="s">
        <v>4962</v>
      </c>
    </row>
    <row r="417" spans="1:32" s="608" customFormat="1" x14ac:dyDescent="0.25">
      <c r="A417" s="624"/>
      <c r="B417" s="617">
        <v>39035102102</v>
      </c>
      <c r="C417" s="617" t="s">
        <v>2085</v>
      </c>
      <c r="D417" s="617" t="s">
        <v>42</v>
      </c>
      <c r="E417" s="617" t="s">
        <v>4853</v>
      </c>
      <c r="F417" s="617" t="s">
        <v>24</v>
      </c>
      <c r="G417" s="624"/>
      <c r="H417" s="669">
        <v>45373</v>
      </c>
      <c r="I417" s="617" t="s">
        <v>4870</v>
      </c>
      <c r="J417" s="617" t="s">
        <v>26</v>
      </c>
      <c r="K417" s="624"/>
      <c r="O417" s="616"/>
      <c r="P417" s="616"/>
      <c r="Q417" s="616"/>
      <c r="AA417" s="624"/>
      <c r="AB417" s="663">
        <v>39035105900</v>
      </c>
      <c r="AC417" s="663" t="s">
        <v>5349</v>
      </c>
      <c r="AD417" s="663" t="s">
        <v>4941</v>
      </c>
      <c r="AE417" s="663" t="s">
        <v>4934</v>
      </c>
      <c r="AF417" s="663" t="s">
        <v>4962</v>
      </c>
    </row>
    <row r="418" spans="1:32" s="608" customFormat="1" x14ac:dyDescent="0.25">
      <c r="A418" s="624"/>
      <c r="B418" s="617">
        <v>39035102200</v>
      </c>
      <c r="C418" s="617" t="s">
        <v>2086</v>
      </c>
      <c r="D418" s="617" t="s">
        <v>42</v>
      </c>
      <c r="E418" s="617" t="s">
        <v>4853</v>
      </c>
      <c r="F418" s="617" t="s">
        <v>26</v>
      </c>
      <c r="G418" s="624"/>
      <c r="H418" s="669">
        <v>45432</v>
      </c>
      <c r="I418" s="617" t="s">
        <v>4870</v>
      </c>
      <c r="J418" s="617" t="s">
        <v>26</v>
      </c>
      <c r="K418" s="624"/>
      <c r="O418" s="616"/>
      <c r="P418" s="616"/>
      <c r="Q418" s="616"/>
      <c r="AA418" s="624"/>
      <c r="AB418" s="663">
        <v>39035106100</v>
      </c>
      <c r="AC418" s="663" t="s">
        <v>5350</v>
      </c>
      <c r="AD418" s="663" t="s">
        <v>4938</v>
      </c>
      <c r="AE418" s="663" t="s">
        <v>4934</v>
      </c>
      <c r="AF418" s="663" t="s">
        <v>4962</v>
      </c>
    </row>
    <row r="419" spans="1:32" s="608" customFormat="1" x14ac:dyDescent="0.25">
      <c r="A419" s="624"/>
      <c r="B419" s="617">
        <v>39035102300</v>
      </c>
      <c r="C419" s="617" t="s">
        <v>2087</v>
      </c>
      <c r="D419" s="617" t="s">
        <v>42</v>
      </c>
      <c r="E419" s="617" t="s">
        <v>4853</v>
      </c>
      <c r="F419" s="617" t="s">
        <v>24</v>
      </c>
      <c r="G419" s="624"/>
      <c r="H419" s="669">
        <v>45402</v>
      </c>
      <c r="I419" s="617" t="s">
        <v>4870</v>
      </c>
      <c r="J419" s="617" t="s">
        <v>26</v>
      </c>
      <c r="K419" s="624"/>
      <c r="O419" s="616"/>
      <c r="P419" s="616"/>
      <c r="Q419" s="616"/>
      <c r="AA419" s="624"/>
      <c r="AB419" s="663">
        <v>39035106200</v>
      </c>
      <c r="AC419" s="663" t="s">
        <v>5351</v>
      </c>
      <c r="AD419" s="663" t="s">
        <v>4941</v>
      </c>
      <c r="AE419" s="663" t="s">
        <v>4928</v>
      </c>
      <c r="AF419" s="663" t="s">
        <v>4962</v>
      </c>
    </row>
    <row r="420" spans="1:32" s="608" customFormat="1" x14ac:dyDescent="0.25">
      <c r="A420" s="624"/>
      <c r="B420" s="617">
        <v>39035102401</v>
      </c>
      <c r="C420" s="617" t="s">
        <v>2088</v>
      </c>
      <c r="D420" s="617" t="s">
        <v>42</v>
      </c>
      <c r="E420" s="617" t="s">
        <v>4853</v>
      </c>
      <c r="F420" s="617" t="s">
        <v>24</v>
      </c>
      <c r="G420" s="624"/>
      <c r="H420" s="669">
        <v>45354</v>
      </c>
      <c r="I420" s="617" t="s">
        <v>4870</v>
      </c>
      <c r="J420" s="617" t="s">
        <v>26</v>
      </c>
      <c r="K420" s="624"/>
      <c r="O420" s="616"/>
      <c r="P420" s="616"/>
      <c r="Q420" s="616"/>
      <c r="AA420" s="624"/>
      <c r="AB420" s="663">
        <v>39035106300</v>
      </c>
      <c r="AC420" s="663" t="s">
        <v>5352</v>
      </c>
      <c r="AD420" s="663" t="s">
        <v>4941</v>
      </c>
      <c r="AE420" s="663" t="s">
        <v>4934</v>
      </c>
      <c r="AF420" s="663" t="s">
        <v>4962</v>
      </c>
    </row>
    <row r="421" spans="1:32" s="608" customFormat="1" x14ac:dyDescent="0.25">
      <c r="A421" s="624"/>
      <c r="B421" s="617">
        <v>39035102402</v>
      </c>
      <c r="C421" s="617" t="s">
        <v>2089</v>
      </c>
      <c r="D421" s="617" t="s">
        <v>42</v>
      </c>
      <c r="E421" s="617" t="s">
        <v>4853</v>
      </c>
      <c r="F421" s="617" t="s">
        <v>24</v>
      </c>
      <c r="G421" s="624"/>
      <c r="H421" s="669">
        <v>44230</v>
      </c>
      <c r="I421" s="617" t="s">
        <v>4869</v>
      </c>
      <c r="J421" s="617" t="s">
        <v>26</v>
      </c>
      <c r="K421" s="624"/>
      <c r="O421" s="616"/>
      <c r="P421" s="616"/>
      <c r="Q421" s="616"/>
      <c r="AA421" s="624"/>
      <c r="AB421" s="663">
        <v>39035106400</v>
      </c>
      <c r="AC421" s="663" t="s">
        <v>5353</v>
      </c>
      <c r="AD421" s="663" t="s">
        <v>4941</v>
      </c>
      <c r="AE421" s="663" t="s">
        <v>4928</v>
      </c>
      <c r="AF421" s="663" t="s">
        <v>4962</v>
      </c>
    </row>
    <row r="422" spans="1:32" s="608" customFormat="1" x14ac:dyDescent="0.25">
      <c r="A422" s="624"/>
      <c r="B422" s="617">
        <v>39035102700</v>
      </c>
      <c r="C422" s="617" t="s">
        <v>2090</v>
      </c>
      <c r="D422" s="617" t="s">
        <v>42</v>
      </c>
      <c r="E422" s="617" t="s">
        <v>4853</v>
      </c>
      <c r="F422" s="617" t="s">
        <v>24</v>
      </c>
      <c r="G422" s="624"/>
      <c r="H422" s="669">
        <v>43061</v>
      </c>
      <c r="I422" s="617" t="s">
        <v>1678</v>
      </c>
      <c r="J422" s="617" t="s">
        <v>26</v>
      </c>
      <c r="K422" s="624"/>
      <c r="O422" s="616"/>
      <c r="P422" s="616"/>
      <c r="Q422" s="616"/>
      <c r="AA422" s="624"/>
      <c r="AB422" s="663">
        <v>39035106500</v>
      </c>
      <c r="AC422" s="663" t="s">
        <v>5354</v>
      </c>
      <c r="AD422" s="663" t="s">
        <v>4941</v>
      </c>
      <c r="AE422" s="663" t="s">
        <v>4928</v>
      </c>
      <c r="AF422" s="663" t="s">
        <v>4962</v>
      </c>
    </row>
    <row r="423" spans="1:32" s="608" customFormat="1" x14ac:dyDescent="0.25">
      <c r="A423" s="624"/>
      <c r="B423" s="617">
        <v>39035102800</v>
      </c>
      <c r="C423" s="617" t="s">
        <v>2091</v>
      </c>
      <c r="D423" s="617" t="s">
        <v>42</v>
      </c>
      <c r="E423" s="617" t="s">
        <v>4853</v>
      </c>
      <c r="F423" s="617" t="s">
        <v>24</v>
      </c>
      <c r="G423" s="624"/>
      <c r="H423" s="669">
        <v>41075</v>
      </c>
      <c r="I423" s="617" t="s">
        <v>4867</v>
      </c>
      <c r="J423" s="617" t="s">
        <v>26</v>
      </c>
      <c r="K423" s="624"/>
      <c r="O423" s="616"/>
      <c r="P423" s="616"/>
      <c r="Q423" s="616"/>
      <c r="AA423" s="624"/>
      <c r="AB423" s="663">
        <v>39035106600</v>
      </c>
      <c r="AC423" s="663" t="s">
        <v>5355</v>
      </c>
      <c r="AD423" s="663" t="s">
        <v>4941</v>
      </c>
      <c r="AE423" s="663" t="s">
        <v>4928</v>
      </c>
      <c r="AF423" s="663" t="s">
        <v>4962</v>
      </c>
    </row>
    <row r="424" spans="1:32" s="608" customFormat="1" x14ac:dyDescent="0.25">
      <c r="A424" s="624"/>
      <c r="B424" s="617">
        <v>39035102900</v>
      </c>
      <c r="C424" s="617" t="s">
        <v>2092</v>
      </c>
      <c r="D424" s="617" t="s">
        <v>42</v>
      </c>
      <c r="E424" s="617" t="s">
        <v>4853</v>
      </c>
      <c r="F424" s="617" t="s">
        <v>24</v>
      </c>
      <c r="G424" s="624"/>
      <c r="H424" s="669">
        <v>43608</v>
      </c>
      <c r="I424" s="617" t="s">
        <v>4872</v>
      </c>
      <c r="J424" s="617" t="s">
        <v>26</v>
      </c>
      <c r="K424" s="624"/>
      <c r="O424" s="616"/>
      <c r="P424" s="616"/>
      <c r="Q424" s="616"/>
      <c r="AA424" s="624"/>
      <c r="AB424" s="663">
        <v>39035106800</v>
      </c>
      <c r="AC424" s="663" t="s">
        <v>5356</v>
      </c>
      <c r="AD424" s="663" t="s">
        <v>4948</v>
      </c>
      <c r="AE424" s="663" t="s">
        <v>4931</v>
      </c>
      <c r="AF424" s="663" t="s">
        <v>4962</v>
      </c>
    </row>
    <row r="425" spans="1:32" s="608" customFormat="1" x14ac:dyDescent="0.25">
      <c r="A425" s="624"/>
      <c r="B425" s="617">
        <v>39035103300</v>
      </c>
      <c r="C425" s="617" t="s">
        <v>2093</v>
      </c>
      <c r="D425" s="617" t="s">
        <v>42</v>
      </c>
      <c r="E425" s="617" t="s">
        <v>4853</v>
      </c>
      <c r="F425" s="617" t="s">
        <v>24</v>
      </c>
      <c r="G425" s="624"/>
      <c r="H425" s="669">
        <v>43522</v>
      </c>
      <c r="I425" s="617" t="s">
        <v>4872</v>
      </c>
      <c r="J425" s="617" t="s">
        <v>26</v>
      </c>
      <c r="K425" s="624"/>
      <c r="O425" s="616"/>
      <c r="P425" s="616"/>
      <c r="Q425" s="616"/>
      <c r="AA425" s="624"/>
      <c r="AB425" s="663">
        <v>39035106900</v>
      </c>
      <c r="AC425" s="663" t="s">
        <v>5357</v>
      </c>
      <c r="AD425" s="663" t="s">
        <v>4938</v>
      </c>
      <c r="AE425" s="663" t="s">
        <v>4942</v>
      </c>
      <c r="AF425" s="663" t="s">
        <v>4962</v>
      </c>
    </row>
    <row r="426" spans="1:32" s="608" customFormat="1" x14ac:dyDescent="0.25">
      <c r="A426" s="624"/>
      <c r="B426" s="617">
        <v>39035103500</v>
      </c>
      <c r="C426" s="617" t="s">
        <v>2094</v>
      </c>
      <c r="D426" s="617" t="s">
        <v>42</v>
      </c>
      <c r="E426" s="617" t="s">
        <v>4853</v>
      </c>
      <c r="F426" s="617" t="s">
        <v>26</v>
      </c>
      <c r="G426" s="624"/>
      <c r="H426" s="669">
        <v>43547</v>
      </c>
      <c r="I426" s="617" t="s">
        <v>4872</v>
      </c>
      <c r="J426" s="617" t="s">
        <v>26</v>
      </c>
      <c r="K426" s="624"/>
      <c r="O426" s="616"/>
      <c r="P426" s="616"/>
      <c r="Q426" s="616"/>
      <c r="AA426" s="624"/>
      <c r="AB426" s="663">
        <v>39035107000</v>
      </c>
      <c r="AC426" s="663" t="s">
        <v>5358</v>
      </c>
      <c r="AD426" s="663" t="s">
        <v>4950</v>
      </c>
      <c r="AE426" s="663" t="s">
        <v>4928</v>
      </c>
      <c r="AF426" s="663" t="s">
        <v>4946</v>
      </c>
    </row>
    <row r="427" spans="1:32" s="608" customFormat="1" x14ac:dyDescent="0.25">
      <c r="A427" s="624"/>
      <c r="B427" s="617">
        <v>39035103602</v>
      </c>
      <c r="C427" s="617" t="s">
        <v>2095</v>
      </c>
      <c r="D427" s="617" t="s">
        <v>42</v>
      </c>
      <c r="E427" s="617" t="s">
        <v>4853</v>
      </c>
      <c r="F427" s="617" t="s">
        <v>26</v>
      </c>
      <c r="G427" s="624"/>
      <c r="H427" s="669">
        <v>44647</v>
      </c>
      <c r="I427" s="617" t="s">
        <v>4874</v>
      </c>
      <c r="J427" s="617" t="s">
        <v>26</v>
      </c>
      <c r="K427" s="624"/>
      <c r="O427" s="616"/>
      <c r="P427" s="616"/>
      <c r="Q427" s="616"/>
      <c r="AA427" s="624"/>
      <c r="AB427" s="663">
        <v>39035107101</v>
      </c>
      <c r="AC427" s="663" t="s">
        <v>5359</v>
      </c>
      <c r="AD427" s="663" t="s">
        <v>4938</v>
      </c>
      <c r="AE427" s="663" t="s">
        <v>4931</v>
      </c>
      <c r="AF427" s="663" t="s">
        <v>4962</v>
      </c>
    </row>
    <row r="428" spans="1:32" s="608" customFormat="1" x14ac:dyDescent="0.25">
      <c r="A428" s="624"/>
      <c r="B428" s="617">
        <v>39035103800</v>
      </c>
      <c r="C428" s="617" t="s">
        <v>2096</v>
      </c>
      <c r="D428" s="617" t="s">
        <v>42</v>
      </c>
      <c r="E428" s="617" t="s">
        <v>4853</v>
      </c>
      <c r="F428" s="617" t="s">
        <v>24</v>
      </c>
      <c r="G428" s="624"/>
      <c r="H428" s="669">
        <v>44706</v>
      </c>
      <c r="I428" s="617" t="s">
        <v>4874</v>
      </c>
      <c r="J428" s="617" t="s">
        <v>26</v>
      </c>
      <c r="K428" s="624"/>
      <c r="O428" s="616"/>
      <c r="P428" s="616"/>
      <c r="Q428" s="616"/>
      <c r="AA428" s="624"/>
      <c r="AB428" s="663">
        <v>39035107701</v>
      </c>
      <c r="AC428" s="663" t="s">
        <v>5360</v>
      </c>
      <c r="AD428" s="663" t="s">
        <v>4938</v>
      </c>
      <c r="AE428" s="663" t="s">
        <v>4939</v>
      </c>
      <c r="AF428" s="663" t="s">
        <v>4962</v>
      </c>
    </row>
    <row r="429" spans="1:32" s="608" customFormat="1" x14ac:dyDescent="0.25">
      <c r="A429" s="624"/>
      <c r="B429" s="617">
        <v>39035104400</v>
      </c>
      <c r="C429" s="617" t="s">
        <v>2097</v>
      </c>
      <c r="D429" s="617" t="s">
        <v>42</v>
      </c>
      <c r="E429" s="617" t="s">
        <v>4853</v>
      </c>
      <c r="F429" s="617" t="s">
        <v>26</v>
      </c>
      <c r="G429" s="624"/>
      <c r="H429" s="669">
        <v>44626</v>
      </c>
      <c r="I429" s="617" t="s">
        <v>4874</v>
      </c>
      <c r="J429" s="617" t="s">
        <v>26</v>
      </c>
      <c r="K429" s="624"/>
      <c r="O429" s="616"/>
      <c r="P429" s="616"/>
      <c r="Q429" s="616"/>
      <c r="AA429" s="624"/>
      <c r="AB429" s="663">
        <v>39035107802</v>
      </c>
      <c r="AC429" s="663" t="s">
        <v>5361</v>
      </c>
      <c r="AD429" s="663" t="s">
        <v>4938</v>
      </c>
      <c r="AE429" s="663" t="s">
        <v>4934</v>
      </c>
      <c r="AF429" s="663" t="s">
        <v>4962</v>
      </c>
    </row>
    <row r="430" spans="1:32" s="608" customFormat="1" x14ac:dyDescent="0.25">
      <c r="A430" s="624"/>
      <c r="B430" s="617">
        <v>39035104800</v>
      </c>
      <c r="C430" s="617" t="s">
        <v>2098</v>
      </c>
      <c r="D430" s="617" t="s">
        <v>42</v>
      </c>
      <c r="E430" s="617" t="s">
        <v>4853</v>
      </c>
      <c r="F430" s="617" t="s">
        <v>24</v>
      </c>
      <c r="G430" s="624"/>
      <c r="H430" s="669">
        <v>44666</v>
      </c>
      <c r="I430" s="617" t="s">
        <v>4874</v>
      </c>
      <c r="J430" s="617" t="s">
        <v>26</v>
      </c>
      <c r="K430" s="624"/>
      <c r="O430" s="616"/>
      <c r="P430" s="616"/>
      <c r="Q430" s="616"/>
      <c r="AA430" s="624"/>
      <c r="AB430" s="663">
        <v>39035108201</v>
      </c>
      <c r="AC430" s="663" t="s">
        <v>5362</v>
      </c>
      <c r="AD430" s="663" t="s">
        <v>4941</v>
      </c>
      <c r="AE430" s="663" t="s">
        <v>4928</v>
      </c>
      <c r="AF430" s="663" t="s">
        <v>4962</v>
      </c>
    </row>
    <row r="431" spans="1:32" s="608" customFormat="1" x14ac:dyDescent="0.25">
      <c r="A431" s="624"/>
      <c r="B431" s="617">
        <v>39035105100</v>
      </c>
      <c r="C431" s="617" t="s">
        <v>2099</v>
      </c>
      <c r="D431" s="617" t="s">
        <v>42</v>
      </c>
      <c r="E431" s="617" t="s">
        <v>4853</v>
      </c>
      <c r="F431" s="617" t="s">
        <v>24</v>
      </c>
      <c r="G431" s="624"/>
      <c r="H431" s="669">
        <v>44634</v>
      </c>
      <c r="I431" s="617" t="s">
        <v>4874</v>
      </c>
      <c r="J431" s="617" t="s">
        <v>26</v>
      </c>
      <c r="K431" s="624"/>
      <c r="O431" s="616"/>
      <c r="P431" s="616"/>
      <c r="Q431" s="616"/>
      <c r="AA431" s="624"/>
      <c r="AB431" s="663">
        <v>39035108301</v>
      </c>
      <c r="AC431" s="663" t="s">
        <v>5363</v>
      </c>
      <c r="AD431" s="663" t="s">
        <v>4941</v>
      </c>
      <c r="AE431" s="663" t="s">
        <v>4928</v>
      </c>
      <c r="AF431" s="663" t="s">
        <v>4962</v>
      </c>
    </row>
    <row r="432" spans="1:32" s="608" customFormat="1" x14ac:dyDescent="0.25">
      <c r="A432" s="624"/>
      <c r="B432" s="617">
        <v>39035105300</v>
      </c>
      <c r="C432" s="617" t="s">
        <v>2100</v>
      </c>
      <c r="D432" s="617" t="s">
        <v>42</v>
      </c>
      <c r="E432" s="617" t="s">
        <v>4853</v>
      </c>
      <c r="F432" s="617" t="s">
        <v>24</v>
      </c>
      <c r="G432" s="624"/>
      <c r="H432" s="669">
        <v>44612</v>
      </c>
      <c r="I432" s="617" t="s">
        <v>4874</v>
      </c>
      <c r="J432" s="617" t="s">
        <v>26</v>
      </c>
      <c r="K432" s="624"/>
      <c r="O432" s="616"/>
      <c r="P432" s="616"/>
      <c r="Q432" s="616"/>
      <c r="AA432" s="624"/>
      <c r="AB432" s="663">
        <v>39035108400</v>
      </c>
      <c r="AC432" s="663" t="s">
        <v>5364</v>
      </c>
      <c r="AD432" s="663" t="s">
        <v>4948</v>
      </c>
      <c r="AE432" s="663" t="s">
        <v>4928</v>
      </c>
      <c r="AF432" s="663" t="s">
        <v>4962</v>
      </c>
    </row>
    <row r="433" spans="1:32" s="608" customFormat="1" x14ac:dyDescent="0.25">
      <c r="A433" s="624"/>
      <c r="B433" s="617">
        <v>39035105400</v>
      </c>
      <c r="C433" s="617" t="s">
        <v>2101</v>
      </c>
      <c r="D433" s="617" t="s">
        <v>42</v>
      </c>
      <c r="E433" s="617" t="s">
        <v>4853</v>
      </c>
      <c r="F433" s="617" t="s">
        <v>24</v>
      </c>
      <c r="G433" s="624"/>
      <c r="H433" s="669">
        <v>43204</v>
      </c>
      <c r="I433" s="617" t="s">
        <v>4871</v>
      </c>
      <c r="J433" s="617" t="s">
        <v>26</v>
      </c>
      <c r="K433" s="624"/>
      <c r="O433" s="616"/>
      <c r="P433" s="616"/>
      <c r="Q433" s="616"/>
      <c r="AA433" s="624"/>
      <c r="AB433" s="663">
        <v>39035108701</v>
      </c>
      <c r="AC433" s="663" t="s">
        <v>5365</v>
      </c>
      <c r="AD433" s="663" t="s">
        <v>4927</v>
      </c>
      <c r="AE433" s="663" t="s">
        <v>4939</v>
      </c>
      <c r="AF433" s="663" t="s">
        <v>4962</v>
      </c>
    </row>
    <row r="434" spans="1:32" s="608" customFormat="1" x14ac:dyDescent="0.25">
      <c r="A434" s="624"/>
      <c r="B434" s="617">
        <v>39035105500</v>
      </c>
      <c r="C434" s="617" t="s">
        <v>2102</v>
      </c>
      <c r="D434" s="617" t="s">
        <v>42</v>
      </c>
      <c r="E434" s="617" t="s">
        <v>4853</v>
      </c>
      <c r="F434" s="617" t="s">
        <v>24</v>
      </c>
      <c r="G434" s="624"/>
      <c r="H434" s="669">
        <v>43140</v>
      </c>
      <c r="I434" s="617" t="s">
        <v>4871</v>
      </c>
      <c r="J434" s="617" t="s">
        <v>26</v>
      </c>
      <c r="K434" s="624"/>
      <c r="O434" s="616"/>
      <c r="P434" s="616"/>
      <c r="Q434" s="616"/>
      <c r="AA434" s="624"/>
      <c r="AB434" s="663">
        <v>39035109301</v>
      </c>
      <c r="AC434" s="663" t="s">
        <v>5366</v>
      </c>
      <c r="AD434" s="663" t="s">
        <v>4927</v>
      </c>
      <c r="AE434" s="663" t="s">
        <v>4942</v>
      </c>
      <c r="AF434" s="663" t="s">
        <v>4962</v>
      </c>
    </row>
    <row r="435" spans="1:32" s="608" customFormat="1" x14ac:dyDescent="0.25">
      <c r="A435" s="624"/>
      <c r="B435" s="617">
        <v>39035105602</v>
      </c>
      <c r="C435" s="617" t="s">
        <v>2103</v>
      </c>
      <c r="D435" s="617" t="s">
        <v>42</v>
      </c>
      <c r="E435" s="617" t="s">
        <v>4853</v>
      </c>
      <c r="F435" s="617" t="s">
        <v>24</v>
      </c>
      <c r="G435" s="624"/>
      <c r="H435" s="669">
        <v>43334</v>
      </c>
      <c r="I435" s="617" t="s">
        <v>4871</v>
      </c>
      <c r="J435" s="617" t="s">
        <v>26</v>
      </c>
      <c r="K435" s="624"/>
      <c r="O435" s="616"/>
      <c r="P435" s="616"/>
      <c r="Q435" s="616"/>
      <c r="AA435" s="624"/>
      <c r="AB435" s="663">
        <v>39035109701</v>
      </c>
      <c r="AC435" s="663" t="s">
        <v>5367</v>
      </c>
      <c r="AD435" s="663" t="s">
        <v>4927</v>
      </c>
      <c r="AE435" s="663" t="s">
        <v>4928</v>
      </c>
      <c r="AF435" s="663" t="s">
        <v>4962</v>
      </c>
    </row>
    <row r="436" spans="1:32" s="608" customFormat="1" x14ac:dyDescent="0.25">
      <c r="A436" s="624"/>
      <c r="B436" s="617">
        <v>39035105700</v>
      </c>
      <c r="C436" s="617" t="s">
        <v>2104</v>
      </c>
      <c r="D436" s="617" t="s">
        <v>42</v>
      </c>
      <c r="E436" s="617" t="s">
        <v>4853</v>
      </c>
      <c r="F436" s="617" t="s">
        <v>24</v>
      </c>
      <c r="G436" s="624"/>
      <c r="H436" s="669">
        <v>43154</v>
      </c>
      <c r="I436" s="617" t="s">
        <v>4871</v>
      </c>
      <c r="J436" s="617" t="s">
        <v>26</v>
      </c>
      <c r="K436" s="624"/>
      <c r="O436" s="616"/>
      <c r="P436" s="616"/>
      <c r="Q436" s="616"/>
      <c r="AA436" s="624"/>
      <c r="AB436" s="663">
        <v>39035109801</v>
      </c>
      <c r="AC436" s="663" t="s">
        <v>5368</v>
      </c>
      <c r="AD436" s="663" t="s">
        <v>4927</v>
      </c>
      <c r="AE436" s="663" t="s">
        <v>5332</v>
      </c>
      <c r="AF436" s="663" t="s">
        <v>4962</v>
      </c>
    </row>
    <row r="437" spans="1:32" s="608" customFormat="1" x14ac:dyDescent="0.25">
      <c r="A437" s="624"/>
      <c r="B437" s="617">
        <v>39035105900</v>
      </c>
      <c r="C437" s="617" t="s">
        <v>2105</v>
      </c>
      <c r="D437" s="617" t="s">
        <v>42</v>
      </c>
      <c r="E437" s="617" t="s">
        <v>4853</v>
      </c>
      <c r="F437" s="617" t="s">
        <v>26</v>
      </c>
      <c r="G437" s="624"/>
      <c r="H437" s="669">
        <v>45801</v>
      </c>
      <c r="I437" s="617" t="s">
        <v>4875</v>
      </c>
      <c r="J437" s="617" t="s">
        <v>26</v>
      </c>
      <c r="K437" s="624"/>
      <c r="O437" s="616"/>
      <c r="P437" s="616"/>
      <c r="Q437" s="616"/>
      <c r="AA437" s="624"/>
      <c r="AB437" s="663">
        <v>39035110501</v>
      </c>
      <c r="AC437" s="663" t="s">
        <v>5369</v>
      </c>
      <c r="AD437" s="663" t="s">
        <v>4927</v>
      </c>
      <c r="AE437" s="663" t="s">
        <v>4931</v>
      </c>
      <c r="AF437" s="663" t="s">
        <v>4962</v>
      </c>
    </row>
    <row r="438" spans="1:32" s="608" customFormat="1" x14ac:dyDescent="0.25">
      <c r="A438" s="624"/>
      <c r="B438" s="617">
        <v>39035106100</v>
      </c>
      <c r="C438" s="617" t="s">
        <v>2106</v>
      </c>
      <c r="D438" s="617" t="s">
        <v>42</v>
      </c>
      <c r="E438" s="617" t="s">
        <v>4853</v>
      </c>
      <c r="F438" s="617" t="s">
        <v>26</v>
      </c>
      <c r="G438" s="624"/>
      <c r="H438" s="669">
        <v>44484</v>
      </c>
      <c r="I438" s="617" t="s">
        <v>4873</v>
      </c>
      <c r="J438" s="617" t="s">
        <v>26</v>
      </c>
      <c r="K438" s="624"/>
      <c r="O438" s="616"/>
      <c r="P438" s="616"/>
      <c r="Q438" s="616"/>
      <c r="AA438" s="624"/>
      <c r="AB438" s="663">
        <v>39035110801</v>
      </c>
      <c r="AC438" s="663" t="s">
        <v>5370</v>
      </c>
      <c r="AD438" s="663" t="s">
        <v>4950</v>
      </c>
      <c r="AE438" s="663" t="s">
        <v>4928</v>
      </c>
      <c r="AF438" s="663" t="s">
        <v>4962</v>
      </c>
    </row>
    <row r="439" spans="1:32" s="608" customFormat="1" x14ac:dyDescent="0.25">
      <c r="A439" s="624"/>
      <c r="B439" s="617">
        <v>39035106200</v>
      </c>
      <c r="C439" s="617" t="s">
        <v>2107</v>
      </c>
      <c r="D439" s="617" t="s">
        <v>42</v>
      </c>
      <c r="E439" s="617" t="s">
        <v>4853</v>
      </c>
      <c r="F439" s="617" t="s">
        <v>26</v>
      </c>
      <c r="G439" s="624"/>
      <c r="H439" s="669">
        <v>44446</v>
      </c>
      <c r="I439" s="617" t="s">
        <v>4873</v>
      </c>
      <c r="J439" s="617" t="s">
        <v>26</v>
      </c>
      <c r="K439" s="624"/>
      <c r="O439" s="616"/>
      <c r="P439" s="616"/>
      <c r="Q439" s="616"/>
      <c r="AA439" s="624"/>
      <c r="AB439" s="663">
        <v>39035110901</v>
      </c>
      <c r="AC439" s="663" t="s">
        <v>5371</v>
      </c>
      <c r="AD439" s="663" t="s">
        <v>4950</v>
      </c>
      <c r="AE439" s="663" t="s">
        <v>4942</v>
      </c>
      <c r="AF439" s="663" t="s">
        <v>4962</v>
      </c>
    </row>
    <row r="440" spans="1:32" s="608" customFormat="1" x14ac:dyDescent="0.25">
      <c r="A440" s="624"/>
      <c r="B440" s="617">
        <v>39035106500</v>
      </c>
      <c r="C440" s="617" t="s">
        <v>2108</v>
      </c>
      <c r="D440" s="617" t="s">
        <v>42</v>
      </c>
      <c r="E440" s="617" t="s">
        <v>4853</v>
      </c>
      <c r="F440" s="617" t="s">
        <v>26</v>
      </c>
      <c r="G440" s="624"/>
      <c r="H440" s="669">
        <v>44906</v>
      </c>
      <c r="I440" s="617" t="s">
        <v>4877</v>
      </c>
      <c r="J440" s="617" t="s">
        <v>26</v>
      </c>
      <c r="K440" s="624"/>
      <c r="O440" s="616"/>
      <c r="P440" s="616"/>
      <c r="Q440" s="616"/>
      <c r="AA440" s="624"/>
      <c r="AB440" s="663">
        <v>39035111202</v>
      </c>
      <c r="AC440" s="663" t="s">
        <v>5372</v>
      </c>
      <c r="AD440" s="663" t="s">
        <v>4927</v>
      </c>
      <c r="AE440" s="663" t="s">
        <v>4942</v>
      </c>
      <c r="AF440" s="663" t="s">
        <v>4962</v>
      </c>
    </row>
    <row r="441" spans="1:32" s="608" customFormat="1" x14ac:dyDescent="0.25">
      <c r="A441" s="624"/>
      <c r="B441" s="617">
        <v>39035106600</v>
      </c>
      <c r="C441" s="617" t="s">
        <v>2109</v>
      </c>
      <c r="D441" s="617" t="s">
        <v>42</v>
      </c>
      <c r="E441" s="617" t="s">
        <v>4853</v>
      </c>
      <c r="F441" s="617" t="s">
        <v>26</v>
      </c>
      <c r="G441" s="624"/>
      <c r="H441" s="669">
        <v>45167</v>
      </c>
      <c r="I441" s="617" t="s">
        <v>1674</v>
      </c>
      <c r="J441" s="617" t="s">
        <v>26</v>
      </c>
      <c r="K441" s="624"/>
      <c r="O441" s="616"/>
      <c r="P441" s="616"/>
      <c r="Q441" s="616"/>
      <c r="AA441" s="624"/>
      <c r="AB441" s="663">
        <v>39035111401</v>
      </c>
      <c r="AC441" s="663" t="s">
        <v>5373</v>
      </c>
      <c r="AD441" s="663" t="s">
        <v>4927</v>
      </c>
      <c r="AE441" s="663" t="s">
        <v>4931</v>
      </c>
      <c r="AF441" s="663" t="s">
        <v>4962</v>
      </c>
    </row>
    <row r="442" spans="1:32" s="608" customFormat="1" x14ac:dyDescent="0.25">
      <c r="A442" s="624"/>
      <c r="B442" s="617">
        <v>39035106800</v>
      </c>
      <c r="C442" s="617" t="s">
        <v>2110</v>
      </c>
      <c r="D442" s="617" t="s">
        <v>42</v>
      </c>
      <c r="E442" s="617" t="s">
        <v>4853</v>
      </c>
      <c r="F442" s="617" t="s">
        <v>24</v>
      </c>
      <c r="G442" s="624"/>
      <c r="H442" s="669">
        <v>44452</v>
      </c>
      <c r="I442" s="617" t="s">
        <v>4873</v>
      </c>
      <c r="J442" s="617" t="s">
        <v>26</v>
      </c>
      <c r="K442" s="624"/>
      <c r="O442" s="616"/>
      <c r="P442" s="616"/>
      <c r="Q442" s="616"/>
      <c r="AA442" s="624"/>
      <c r="AB442" s="663">
        <v>39035111500</v>
      </c>
      <c r="AC442" s="663" t="s">
        <v>5374</v>
      </c>
      <c r="AD442" s="663" t="s">
        <v>4927</v>
      </c>
      <c r="AE442" s="663" t="s">
        <v>4934</v>
      </c>
      <c r="AF442" s="663" t="s">
        <v>4962</v>
      </c>
    </row>
    <row r="443" spans="1:32" s="608" customFormat="1" x14ac:dyDescent="0.25">
      <c r="A443" s="624"/>
      <c r="B443" s="617">
        <v>39035106900</v>
      </c>
      <c r="C443" s="617" t="s">
        <v>2111</v>
      </c>
      <c r="D443" s="617" t="s">
        <v>42</v>
      </c>
      <c r="E443" s="617" t="s">
        <v>4853</v>
      </c>
      <c r="F443" s="617" t="s">
        <v>26</v>
      </c>
      <c r="G443" s="624"/>
      <c r="H443" s="669">
        <v>44076</v>
      </c>
      <c r="I443" s="617" t="s">
        <v>4873</v>
      </c>
      <c r="J443" s="617" t="s">
        <v>26</v>
      </c>
      <c r="K443" s="624"/>
      <c r="O443" s="616"/>
      <c r="P443" s="616"/>
      <c r="Q443" s="616"/>
      <c r="AA443" s="624"/>
      <c r="AB443" s="663">
        <v>39035111600</v>
      </c>
      <c r="AC443" s="663" t="s">
        <v>5375</v>
      </c>
      <c r="AD443" s="663" t="s">
        <v>4927</v>
      </c>
      <c r="AE443" s="663" t="s">
        <v>4928</v>
      </c>
      <c r="AF443" s="663" t="s">
        <v>4962</v>
      </c>
    </row>
    <row r="444" spans="1:32" s="608" customFormat="1" x14ac:dyDescent="0.25">
      <c r="A444" s="624"/>
      <c r="B444" s="617">
        <v>39035107000</v>
      </c>
      <c r="C444" s="617" t="s">
        <v>2112</v>
      </c>
      <c r="D444" s="617" t="s">
        <v>42</v>
      </c>
      <c r="E444" s="617" t="s">
        <v>4853</v>
      </c>
      <c r="F444" s="617" t="s">
        <v>26</v>
      </c>
      <c r="G444" s="624"/>
      <c r="H444" s="669">
        <v>44439</v>
      </c>
      <c r="I444" s="617" t="s">
        <v>4873</v>
      </c>
      <c r="J444" s="617" t="s">
        <v>26</v>
      </c>
      <c r="K444" s="624"/>
      <c r="O444" s="616"/>
      <c r="P444" s="616"/>
      <c r="Q444" s="616"/>
      <c r="AA444" s="624"/>
      <c r="AB444" s="663">
        <v>39035111700</v>
      </c>
      <c r="AC444" s="663" t="s">
        <v>5376</v>
      </c>
      <c r="AD444" s="663" t="s">
        <v>4927</v>
      </c>
      <c r="AE444" s="663" t="s">
        <v>4939</v>
      </c>
      <c r="AF444" s="663" t="s">
        <v>4962</v>
      </c>
    </row>
    <row r="445" spans="1:32" s="608" customFormat="1" x14ac:dyDescent="0.25">
      <c r="A445" s="624"/>
      <c r="B445" s="617">
        <v>39035107101</v>
      </c>
      <c r="C445" s="617" t="s">
        <v>2113</v>
      </c>
      <c r="D445" s="617" t="s">
        <v>42</v>
      </c>
      <c r="E445" s="617" t="s">
        <v>4853</v>
      </c>
      <c r="F445" s="617" t="s">
        <v>26</v>
      </c>
      <c r="G445" s="624"/>
      <c r="H445" s="669">
        <v>45415</v>
      </c>
      <c r="I445" s="617" t="s">
        <v>4870</v>
      </c>
      <c r="J445" s="617" t="s">
        <v>26</v>
      </c>
      <c r="K445" s="624"/>
      <c r="O445" s="616"/>
      <c r="P445" s="616"/>
      <c r="Q445" s="616"/>
      <c r="AA445" s="624"/>
      <c r="AB445" s="663">
        <v>39035111800</v>
      </c>
      <c r="AC445" s="663" t="s">
        <v>5377</v>
      </c>
      <c r="AD445" s="663" t="s">
        <v>4927</v>
      </c>
      <c r="AE445" s="663" t="s">
        <v>5006</v>
      </c>
      <c r="AF445" s="663" t="s">
        <v>4962</v>
      </c>
    </row>
    <row r="446" spans="1:32" s="608" customFormat="1" x14ac:dyDescent="0.25">
      <c r="A446" s="624"/>
      <c r="B446" s="617">
        <v>39035107701</v>
      </c>
      <c r="C446" s="617" t="s">
        <v>2114</v>
      </c>
      <c r="D446" s="617" t="s">
        <v>42</v>
      </c>
      <c r="E446" s="617" t="s">
        <v>4853</v>
      </c>
      <c r="F446" s="617" t="s">
        <v>26</v>
      </c>
      <c r="G446" s="624"/>
      <c r="H446" s="669">
        <v>45335</v>
      </c>
      <c r="I446" s="617" t="s">
        <v>4870</v>
      </c>
      <c r="J446" s="617" t="s">
        <v>26</v>
      </c>
      <c r="K446" s="624"/>
      <c r="O446" s="616"/>
      <c r="P446" s="616"/>
      <c r="Q446" s="616"/>
      <c r="AA446" s="624"/>
      <c r="AB446" s="663">
        <v>39035111902</v>
      </c>
      <c r="AC446" s="663" t="s">
        <v>5378</v>
      </c>
      <c r="AD446" s="663" t="s">
        <v>4927</v>
      </c>
      <c r="AE446" s="663" t="s">
        <v>4934</v>
      </c>
      <c r="AF446" s="663" t="s">
        <v>4962</v>
      </c>
    </row>
    <row r="447" spans="1:32" s="608" customFormat="1" x14ac:dyDescent="0.25">
      <c r="A447" s="624"/>
      <c r="B447" s="617">
        <v>39035107802</v>
      </c>
      <c r="C447" s="617" t="s">
        <v>2115</v>
      </c>
      <c r="D447" s="617" t="s">
        <v>42</v>
      </c>
      <c r="E447" s="617" t="s">
        <v>4853</v>
      </c>
      <c r="F447" s="617" t="s">
        <v>24</v>
      </c>
      <c r="G447" s="624"/>
      <c r="H447" s="669">
        <v>45339</v>
      </c>
      <c r="I447" s="617" t="s">
        <v>4870</v>
      </c>
      <c r="J447" s="617" t="s">
        <v>26</v>
      </c>
      <c r="K447" s="624"/>
      <c r="O447" s="616"/>
      <c r="P447" s="616"/>
      <c r="Q447" s="616"/>
      <c r="AA447" s="624"/>
      <c r="AB447" s="663">
        <v>39035112100</v>
      </c>
      <c r="AC447" s="663" t="s">
        <v>5379</v>
      </c>
      <c r="AD447" s="663" t="s">
        <v>4927</v>
      </c>
      <c r="AE447" s="663" t="s">
        <v>4934</v>
      </c>
      <c r="AF447" s="663" t="s">
        <v>4962</v>
      </c>
    </row>
    <row r="448" spans="1:32" s="608" customFormat="1" x14ac:dyDescent="0.25">
      <c r="A448" s="624"/>
      <c r="B448" s="617">
        <v>39035108201</v>
      </c>
      <c r="C448" s="617" t="s">
        <v>2116</v>
      </c>
      <c r="D448" s="617" t="s">
        <v>42</v>
      </c>
      <c r="E448" s="617" t="s">
        <v>4853</v>
      </c>
      <c r="F448" s="617" t="s">
        <v>24</v>
      </c>
      <c r="G448" s="624"/>
      <c r="H448" s="669">
        <v>44135</v>
      </c>
      <c r="I448" s="617" t="s">
        <v>4869</v>
      </c>
      <c r="J448" s="617" t="s">
        <v>26</v>
      </c>
      <c r="K448" s="624"/>
      <c r="O448" s="616"/>
      <c r="P448" s="616"/>
      <c r="Q448" s="616"/>
      <c r="AA448" s="624"/>
      <c r="AB448" s="663">
        <v>39035112200</v>
      </c>
      <c r="AC448" s="663" t="s">
        <v>5380</v>
      </c>
      <c r="AD448" s="663" t="s">
        <v>4927</v>
      </c>
      <c r="AE448" s="663" t="s">
        <v>4939</v>
      </c>
      <c r="AF448" s="663" t="s">
        <v>4962</v>
      </c>
    </row>
    <row r="449" spans="1:32" s="608" customFormat="1" x14ac:dyDescent="0.25">
      <c r="A449" s="624"/>
      <c r="B449" s="617">
        <v>39035108301</v>
      </c>
      <c r="C449" s="617" t="s">
        <v>2117</v>
      </c>
      <c r="D449" s="617" t="s">
        <v>42</v>
      </c>
      <c r="E449" s="617" t="s">
        <v>4853</v>
      </c>
      <c r="F449" s="617" t="s">
        <v>24</v>
      </c>
      <c r="G449" s="624"/>
      <c r="H449" s="669">
        <v>44491</v>
      </c>
      <c r="I449" s="617" t="s">
        <v>4869</v>
      </c>
      <c r="J449" s="617" t="s">
        <v>26</v>
      </c>
      <c r="K449" s="624"/>
      <c r="O449" s="616"/>
      <c r="P449" s="616"/>
      <c r="Q449" s="616"/>
      <c r="AA449" s="624"/>
      <c r="AB449" s="663">
        <v>39035112301</v>
      </c>
      <c r="AC449" s="663" t="s">
        <v>5381</v>
      </c>
      <c r="AD449" s="663" t="s">
        <v>4927</v>
      </c>
      <c r="AE449" s="663" t="s">
        <v>4934</v>
      </c>
      <c r="AF449" s="663" t="s">
        <v>4962</v>
      </c>
    </row>
    <row r="450" spans="1:32" s="608" customFormat="1" x14ac:dyDescent="0.25">
      <c r="A450" s="624"/>
      <c r="B450" s="617">
        <v>39035108400</v>
      </c>
      <c r="C450" s="617" t="s">
        <v>2118</v>
      </c>
      <c r="D450" s="617" t="s">
        <v>42</v>
      </c>
      <c r="E450" s="617" t="s">
        <v>4853</v>
      </c>
      <c r="F450" s="617" t="s">
        <v>24</v>
      </c>
      <c r="G450" s="624"/>
      <c r="H450" s="669">
        <v>44217</v>
      </c>
      <c r="I450" s="617" t="s">
        <v>4869</v>
      </c>
      <c r="J450" s="617" t="s">
        <v>26</v>
      </c>
      <c r="K450" s="624"/>
      <c r="O450" s="616"/>
      <c r="P450" s="616"/>
      <c r="Q450" s="616"/>
      <c r="AA450" s="624"/>
      <c r="AB450" s="663">
        <v>39035112400</v>
      </c>
      <c r="AC450" s="663" t="s">
        <v>5382</v>
      </c>
      <c r="AD450" s="663" t="s">
        <v>4948</v>
      </c>
      <c r="AE450" s="663" t="s">
        <v>4939</v>
      </c>
      <c r="AF450" s="663" t="s">
        <v>4962</v>
      </c>
    </row>
    <row r="451" spans="1:32" s="608" customFormat="1" x14ac:dyDescent="0.25">
      <c r="A451" s="624"/>
      <c r="B451" s="617">
        <v>39035108701</v>
      </c>
      <c r="C451" s="617" t="s">
        <v>2119</v>
      </c>
      <c r="D451" s="617" t="s">
        <v>42</v>
      </c>
      <c r="E451" s="617" t="s">
        <v>4853</v>
      </c>
      <c r="F451" s="617" t="s">
        <v>24</v>
      </c>
      <c r="G451" s="624"/>
      <c r="H451" s="669">
        <v>45103</v>
      </c>
      <c r="I451" s="617" t="s">
        <v>4867</v>
      </c>
      <c r="J451" s="617" t="s">
        <v>26</v>
      </c>
      <c r="K451" s="624"/>
      <c r="O451" s="616"/>
      <c r="P451" s="616"/>
      <c r="Q451" s="616"/>
      <c r="AA451" s="624"/>
      <c r="AB451" s="663">
        <v>39035112500</v>
      </c>
      <c r="AC451" s="663" t="s">
        <v>5383</v>
      </c>
      <c r="AD451" s="663" t="s">
        <v>4927</v>
      </c>
      <c r="AE451" s="663" t="s">
        <v>4928</v>
      </c>
      <c r="AF451" s="663" t="s">
        <v>4962</v>
      </c>
    </row>
    <row r="452" spans="1:32" s="608" customFormat="1" x14ac:dyDescent="0.25">
      <c r="A452" s="624"/>
      <c r="B452" s="617">
        <v>39035109301</v>
      </c>
      <c r="C452" s="617" t="s">
        <v>2120</v>
      </c>
      <c r="D452" s="617" t="s">
        <v>42</v>
      </c>
      <c r="E452" s="617" t="s">
        <v>4853</v>
      </c>
      <c r="F452" s="617" t="s">
        <v>24</v>
      </c>
      <c r="G452" s="624"/>
      <c r="H452" s="669">
        <v>45005</v>
      </c>
      <c r="I452" s="617" t="s">
        <v>4867</v>
      </c>
      <c r="J452" s="617" t="s">
        <v>26</v>
      </c>
      <c r="K452" s="624"/>
      <c r="O452" s="616"/>
      <c r="P452" s="616"/>
      <c r="Q452" s="616"/>
      <c r="AA452" s="624"/>
      <c r="AB452" s="663">
        <v>39035112600</v>
      </c>
      <c r="AC452" s="663" t="s">
        <v>5384</v>
      </c>
      <c r="AD452" s="663" t="s">
        <v>4927</v>
      </c>
      <c r="AE452" s="663" t="s">
        <v>4942</v>
      </c>
      <c r="AF452" s="663" t="s">
        <v>4962</v>
      </c>
    </row>
    <row r="453" spans="1:32" s="608" customFormat="1" x14ac:dyDescent="0.25">
      <c r="A453" s="624"/>
      <c r="B453" s="617">
        <v>39035109701</v>
      </c>
      <c r="C453" s="617" t="s">
        <v>2121</v>
      </c>
      <c r="D453" s="617" t="s">
        <v>42</v>
      </c>
      <c r="E453" s="617" t="s">
        <v>4853</v>
      </c>
      <c r="F453" s="617" t="s">
        <v>24</v>
      </c>
      <c r="G453" s="624"/>
      <c r="H453" s="669">
        <v>47022</v>
      </c>
      <c r="I453" s="617" t="s">
        <v>4867</v>
      </c>
      <c r="J453" s="617" t="s">
        <v>26</v>
      </c>
      <c r="K453" s="624"/>
      <c r="O453" s="616"/>
      <c r="P453" s="616"/>
      <c r="Q453" s="616"/>
      <c r="AA453" s="624"/>
      <c r="AB453" s="663">
        <v>39035112800</v>
      </c>
      <c r="AC453" s="663" t="s">
        <v>5385</v>
      </c>
      <c r="AD453" s="663" t="s">
        <v>4927</v>
      </c>
      <c r="AE453" s="663" t="s">
        <v>5006</v>
      </c>
      <c r="AF453" s="663" t="s">
        <v>4962</v>
      </c>
    </row>
    <row r="454" spans="1:32" s="608" customFormat="1" x14ac:dyDescent="0.25">
      <c r="A454" s="624"/>
      <c r="B454" s="617">
        <v>39035109801</v>
      </c>
      <c r="C454" s="617" t="s">
        <v>2122</v>
      </c>
      <c r="D454" s="617" t="s">
        <v>42</v>
      </c>
      <c r="E454" s="617" t="s">
        <v>4853</v>
      </c>
      <c r="F454" s="617" t="s">
        <v>24</v>
      </c>
      <c r="G454" s="624"/>
      <c r="H454" s="669">
        <v>45118</v>
      </c>
      <c r="I454" s="617" t="s">
        <v>4867</v>
      </c>
      <c r="J454" s="617" t="s">
        <v>26</v>
      </c>
      <c r="K454" s="624"/>
      <c r="O454" s="616"/>
      <c r="P454" s="616"/>
      <c r="Q454" s="616"/>
      <c r="AA454" s="624"/>
      <c r="AB454" s="663">
        <v>39035113101</v>
      </c>
      <c r="AC454" s="663" t="s">
        <v>5386</v>
      </c>
      <c r="AD454" s="663" t="s">
        <v>4948</v>
      </c>
      <c r="AE454" s="663" t="s">
        <v>4931</v>
      </c>
      <c r="AF454" s="663" t="s">
        <v>4962</v>
      </c>
    </row>
    <row r="455" spans="1:32" s="608" customFormat="1" x14ac:dyDescent="0.25">
      <c r="A455" s="624"/>
      <c r="B455" s="617">
        <v>39035110901</v>
      </c>
      <c r="C455" s="617" t="s">
        <v>2123</v>
      </c>
      <c r="D455" s="617" t="s">
        <v>42</v>
      </c>
      <c r="E455" s="617" t="s">
        <v>4853</v>
      </c>
      <c r="F455" s="617" t="s">
        <v>24</v>
      </c>
      <c r="G455" s="624"/>
      <c r="H455" s="669">
        <v>43213</v>
      </c>
      <c r="I455" s="617" t="s">
        <v>4871</v>
      </c>
      <c r="J455" s="617" t="s">
        <v>26</v>
      </c>
      <c r="K455" s="624"/>
      <c r="O455" s="616"/>
      <c r="P455" s="616"/>
      <c r="Q455" s="616"/>
      <c r="AA455" s="624"/>
      <c r="AB455" s="663">
        <v>39035113500</v>
      </c>
      <c r="AC455" s="663" t="s">
        <v>5387</v>
      </c>
      <c r="AD455" s="663" t="s">
        <v>4948</v>
      </c>
      <c r="AE455" s="663" t="s">
        <v>4928</v>
      </c>
      <c r="AF455" s="663" t="s">
        <v>4962</v>
      </c>
    </row>
    <row r="456" spans="1:32" s="608" customFormat="1" x14ac:dyDescent="0.25">
      <c r="A456" s="624"/>
      <c r="B456" s="617">
        <v>39035111202</v>
      </c>
      <c r="C456" s="617" t="s">
        <v>2124</v>
      </c>
      <c r="D456" s="617" t="s">
        <v>42</v>
      </c>
      <c r="E456" s="617" t="s">
        <v>4853</v>
      </c>
      <c r="F456" s="617" t="s">
        <v>24</v>
      </c>
      <c r="G456" s="624"/>
      <c r="H456" s="669">
        <v>43151</v>
      </c>
      <c r="I456" s="617" t="s">
        <v>4871</v>
      </c>
      <c r="J456" s="617" t="s">
        <v>26</v>
      </c>
      <c r="K456" s="624"/>
      <c r="O456" s="616"/>
      <c r="P456" s="616"/>
      <c r="Q456" s="616"/>
      <c r="AA456" s="624"/>
      <c r="AB456" s="663">
        <v>39035113600</v>
      </c>
      <c r="AC456" s="663" t="s">
        <v>5388</v>
      </c>
      <c r="AD456" s="663" t="s">
        <v>4950</v>
      </c>
      <c r="AE456" s="663" t="s">
        <v>4928</v>
      </c>
      <c r="AF456" s="663" t="s">
        <v>4962</v>
      </c>
    </row>
    <row r="457" spans="1:32" s="608" customFormat="1" x14ac:dyDescent="0.25">
      <c r="A457" s="624"/>
      <c r="B457" s="617">
        <v>39035111401</v>
      </c>
      <c r="C457" s="617" t="s">
        <v>2125</v>
      </c>
      <c r="D457" s="617" t="s">
        <v>42</v>
      </c>
      <c r="E457" s="617" t="s">
        <v>4853</v>
      </c>
      <c r="F457" s="617" t="s">
        <v>24</v>
      </c>
      <c r="G457" s="624"/>
      <c r="H457" s="669">
        <v>43746</v>
      </c>
      <c r="I457" s="617" t="s">
        <v>4871</v>
      </c>
      <c r="J457" s="617" t="s">
        <v>26</v>
      </c>
      <c r="K457" s="624"/>
      <c r="O457" s="616"/>
      <c r="P457" s="616"/>
      <c r="Q457" s="616"/>
      <c r="AA457" s="624"/>
      <c r="AB457" s="663">
        <v>39035113801</v>
      </c>
      <c r="AC457" s="663" t="s">
        <v>5389</v>
      </c>
      <c r="AD457" s="663" t="s">
        <v>4927</v>
      </c>
      <c r="AE457" s="663" t="s">
        <v>4928</v>
      </c>
      <c r="AF457" s="663" t="s">
        <v>4962</v>
      </c>
    </row>
    <row r="458" spans="1:32" s="608" customFormat="1" x14ac:dyDescent="0.25">
      <c r="A458" s="624"/>
      <c r="B458" s="617">
        <v>39035111700</v>
      </c>
      <c r="C458" s="617" t="s">
        <v>2126</v>
      </c>
      <c r="D458" s="617" t="s">
        <v>42</v>
      </c>
      <c r="E458" s="617" t="s">
        <v>4853</v>
      </c>
      <c r="F458" s="617" t="s">
        <v>24</v>
      </c>
      <c r="G458" s="624"/>
      <c r="H458" s="669">
        <v>43030</v>
      </c>
      <c r="I458" s="617" t="s">
        <v>4871</v>
      </c>
      <c r="J458" s="617" t="s">
        <v>26</v>
      </c>
      <c r="K458" s="624"/>
      <c r="O458" s="616"/>
      <c r="P458" s="616"/>
      <c r="Q458" s="616"/>
      <c r="AA458" s="624"/>
      <c r="AB458" s="663">
        <v>39035114100</v>
      </c>
      <c r="AC458" s="663" t="s">
        <v>5390</v>
      </c>
      <c r="AD458" s="663" t="s">
        <v>4927</v>
      </c>
      <c r="AE458" s="663" t="s">
        <v>4934</v>
      </c>
      <c r="AF458" s="663" t="s">
        <v>4962</v>
      </c>
    </row>
    <row r="459" spans="1:32" s="608" customFormat="1" x14ac:dyDescent="0.25">
      <c r="A459" s="624"/>
      <c r="B459" s="617">
        <v>39035112100</v>
      </c>
      <c r="C459" s="617" t="s">
        <v>2127</v>
      </c>
      <c r="D459" s="617" t="s">
        <v>42</v>
      </c>
      <c r="E459" s="617" t="s">
        <v>4853</v>
      </c>
      <c r="F459" s="617" t="s">
        <v>24</v>
      </c>
      <c r="G459" s="624"/>
      <c r="H459" s="669">
        <v>43609</v>
      </c>
      <c r="I459" s="617" t="s">
        <v>4872</v>
      </c>
      <c r="J459" s="617" t="s">
        <v>26</v>
      </c>
      <c r="K459" s="624"/>
      <c r="O459" s="616"/>
      <c r="P459" s="616"/>
      <c r="Q459" s="616"/>
      <c r="AA459" s="624"/>
      <c r="AB459" s="663">
        <v>39035114300</v>
      </c>
      <c r="AC459" s="663" t="s">
        <v>5391</v>
      </c>
      <c r="AD459" s="663" t="s">
        <v>4927</v>
      </c>
      <c r="AE459" s="663" t="s">
        <v>4928</v>
      </c>
      <c r="AF459" s="663" t="s">
        <v>4962</v>
      </c>
    </row>
    <row r="460" spans="1:32" s="608" customFormat="1" x14ac:dyDescent="0.25">
      <c r="A460" s="624"/>
      <c r="B460" s="617">
        <v>39035112200</v>
      </c>
      <c r="C460" s="617" t="s">
        <v>2128</v>
      </c>
      <c r="D460" s="617" t="s">
        <v>42</v>
      </c>
      <c r="E460" s="617" t="s">
        <v>4853</v>
      </c>
      <c r="F460" s="617" t="s">
        <v>24</v>
      </c>
      <c r="G460" s="624"/>
      <c r="H460" s="669">
        <v>43558</v>
      </c>
      <c r="I460" s="617" t="s">
        <v>4872</v>
      </c>
      <c r="J460" s="617" t="s">
        <v>26</v>
      </c>
      <c r="K460" s="624"/>
      <c r="O460" s="616"/>
      <c r="P460" s="616"/>
      <c r="Q460" s="616"/>
      <c r="AA460" s="624"/>
      <c r="AB460" s="663">
        <v>39035114501</v>
      </c>
      <c r="AC460" s="663" t="s">
        <v>5392</v>
      </c>
      <c r="AD460" s="663" t="s">
        <v>4950</v>
      </c>
      <c r="AE460" s="663" t="s">
        <v>5332</v>
      </c>
      <c r="AF460" s="663" t="s">
        <v>4962</v>
      </c>
    </row>
    <row r="461" spans="1:32" s="608" customFormat="1" x14ac:dyDescent="0.25">
      <c r="A461" s="624"/>
      <c r="B461" s="617">
        <v>39035112301</v>
      </c>
      <c r="C461" s="617" t="s">
        <v>2129</v>
      </c>
      <c r="D461" s="617" t="s">
        <v>42</v>
      </c>
      <c r="E461" s="617" t="s">
        <v>4853</v>
      </c>
      <c r="F461" s="617" t="s">
        <v>24</v>
      </c>
      <c r="G461" s="624"/>
      <c r="H461" s="669">
        <v>43443</v>
      </c>
      <c r="I461" s="617" t="s">
        <v>4872</v>
      </c>
      <c r="J461" s="617" t="s">
        <v>26</v>
      </c>
      <c r="K461" s="624"/>
      <c r="O461" s="616"/>
      <c r="P461" s="616"/>
      <c r="Q461" s="616"/>
      <c r="AA461" s="624"/>
      <c r="AB461" s="663">
        <v>39035114600</v>
      </c>
      <c r="AC461" s="663" t="s">
        <v>5393</v>
      </c>
      <c r="AD461" s="663" t="s">
        <v>4950</v>
      </c>
      <c r="AE461" s="663" t="s">
        <v>4928</v>
      </c>
      <c r="AF461" s="663" t="s">
        <v>4962</v>
      </c>
    </row>
    <row r="462" spans="1:32" s="608" customFormat="1" x14ac:dyDescent="0.25">
      <c r="A462" s="624"/>
      <c r="B462" s="617">
        <v>39035114501</v>
      </c>
      <c r="C462" s="617" t="s">
        <v>2130</v>
      </c>
      <c r="D462" s="617" t="s">
        <v>42</v>
      </c>
      <c r="E462" s="617" t="s">
        <v>4853</v>
      </c>
      <c r="F462" s="617" t="s">
        <v>24</v>
      </c>
      <c r="G462" s="624"/>
      <c r="H462" s="669">
        <v>43553</v>
      </c>
      <c r="I462" s="617" t="s">
        <v>4872</v>
      </c>
      <c r="J462" s="617" t="s">
        <v>26</v>
      </c>
      <c r="K462" s="624"/>
      <c r="O462" s="616"/>
      <c r="P462" s="616"/>
      <c r="Q462" s="616"/>
      <c r="AA462" s="624"/>
      <c r="AB462" s="663">
        <v>39035114700</v>
      </c>
      <c r="AC462" s="663" t="s">
        <v>5394</v>
      </c>
      <c r="AD462" s="663" t="s">
        <v>4927</v>
      </c>
      <c r="AE462" s="663" t="s">
        <v>4931</v>
      </c>
      <c r="AF462" s="663" t="s">
        <v>4962</v>
      </c>
    </row>
    <row r="463" spans="1:32" s="608" customFormat="1" x14ac:dyDescent="0.25">
      <c r="A463" s="624"/>
      <c r="B463" s="617">
        <v>39035114600</v>
      </c>
      <c r="C463" s="617" t="s">
        <v>2131</v>
      </c>
      <c r="D463" s="617" t="s">
        <v>42</v>
      </c>
      <c r="E463" s="617" t="s">
        <v>4853</v>
      </c>
      <c r="F463" s="617" t="s">
        <v>24</v>
      </c>
      <c r="G463" s="624"/>
      <c r="H463" s="669">
        <v>44705</v>
      </c>
      <c r="I463" s="617" t="s">
        <v>4874</v>
      </c>
      <c r="J463" s="617" t="s">
        <v>26</v>
      </c>
      <c r="K463" s="624"/>
      <c r="O463" s="616"/>
      <c r="P463" s="616"/>
      <c r="Q463" s="616"/>
      <c r="AA463" s="624"/>
      <c r="AB463" s="663">
        <v>39035114900</v>
      </c>
      <c r="AC463" s="663" t="s">
        <v>5395</v>
      </c>
      <c r="AD463" s="663" t="s">
        <v>4927</v>
      </c>
      <c r="AE463" s="663" t="s">
        <v>4942</v>
      </c>
      <c r="AF463" s="663" t="s">
        <v>4962</v>
      </c>
    </row>
    <row r="464" spans="1:32" s="608" customFormat="1" x14ac:dyDescent="0.25">
      <c r="A464" s="624"/>
      <c r="B464" s="617">
        <v>39035114800</v>
      </c>
      <c r="C464" s="617" t="s">
        <v>2132</v>
      </c>
      <c r="D464" s="617" t="s">
        <v>42</v>
      </c>
      <c r="E464" s="617" t="s">
        <v>4853</v>
      </c>
      <c r="F464" s="617" t="s">
        <v>24</v>
      </c>
      <c r="G464" s="624"/>
      <c r="H464" s="669">
        <v>43988</v>
      </c>
      <c r="I464" s="617" t="s">
        <v>4874</v>
      </c>
      <c r="J464" s="617" t="s">
        <v>26</v>
      </c>
      <c r="K464" s="624"/>
      <c r="O464" s="616"/>
      <c r="P464" s="616"/>
      <c r="Q464" s="616"/>
      <c r="AA464" s="624"/>
      <c r="AB464" s="663">
        <v>39035115100</v>
      </c>
      <c r="AC464" s="663" t="s">
        <v>5396</v>
      </c>
      <c r="AD464" s="663" t="s">
        <v>4950</v>
      </c>
      <c r="AE464" s="663" t="s">
        <v>4931</v>
      </c>
      <c r="AF464" s="663" t="s">
        <v>4962</v>
      </c>
    </row>
    <row r="465" spans="1:32" s="608" customFormat="1" x14ac:dyDescent="0.25">
      <c r="A465" s="624"/>
      <c r="B465" s="617">
        <v>39035115400</v>
      </c>
      <c r="C465" s="617" t="s">
        <v>2133</v>
      </c>
      <c r="D465" s="617" t="s">
        <v>42</v>
      </c>
      <c r="E465" s="617" t="s">
        <v>4853</v>
      </c>
      <c r="F465" s="617" t="s">
        <v>24</v>
      </c>
      <c r="G465" s="624"/>
      <c r="H465" s="669">
        <v>43408</v>
      </c>
      <c r="I465" s="617" t="s">
        <v>1676</v>
      </c>
      <c r="J465" s="617" t="s">
        <v>26</v>
      </c>
      <c r="K465" s="624"/>
      <c r="O465" s="616"/>
      <c r="P465" s="616"/>
      <c r="Q465" s="616"/>
      <c r="AA465" s="624"/>
      <c r="AB465" s="663">
        <v>39035115200</v>
      </c>
      <c r="AC465" s="663" t="s">
        <v>5397</v>
      </c>
      <c r="AD465" s="663" t="s">
        <v>4941</v>
      </c>
      <c r="AE465" s="663" t="s">
        <v>5332</v>
      </c>
      <c r="AF465" s="663" t="s">
        <v>4962</v>
      </c>
    </row>
    <row r="466" spans="1:32" s="608" customFormat="1" x14ac:dyDescent="0.25">
      <c r="A466" s="624"/>
      <c r="B466" s="617">
        <v>39035115700</v>
      </c>
      <c r="C466" s="617" t="s">
        <v>2134</v>
      </c>
      <c r="D466" s="617" t="s">
        <v>42</v>
      </c>
      <c r="E466" s="617" t="s">
        <v>4853</v>
      </c>
      <c r="F466" s="617" t="s">
        <v>24</v>
      </c>
      <c r="G466" s="624"/>
      <c r="H466" s="669">
        <v>44320</v>
      </c>
      <c r="I466" s="617" t="s">
        <v>4868</v>
      </c>
      <c r="J466" s="617" t="s">
        <v>26</v>
      </c>
      <c r="K466" s="624"/>
      <c r="O466" s="616"/>
      <c r="P466" s="616"/>
      <c r="Q466" s="616"/>
      <c r="AA466" s="624"/>
      <c r="AB466" s="663">
        <v>39035115300</v>
      </c>
      <c r="AC466" s="663" t="s">
        <v>5398</v>
      </c>
      <c r="AD466" s="663" t="s">
        <v>4950</v>
      </c>
      <c r="AE466" s="663" t="s">
        <v>4939</v>
      </c>
      <c r="AF466" s="663" t="s">
        <v>4962</v>
      </c>
    </row>
    <row r="467" spans="1:32" s="608" customFormat="1" x14ac:dyDescent="0.25">
      <c r="A467" s="624"/>
      <c r="B467" s="617">
        <v>39035115800</v>
      </c>
      <c r="C467" s="617" t="s">
        <v>2135</v>
      </c>
      <c r="D467" s="617" t="s">
        <v>42</v>
      </c>
      <c r="E467" s="617" t="s">
        <v>4853</v>
      </c>
      <c r="F467" s="617" t="s">
        <v>24</v>
      </c>
      <c r="G467" s="624"/>
      <c r="H467" s="669">
        <v>44471</v>
      </c>
      <c r="I467" s="617" t="s">
        <v>4873</v>
      </c>
      <c r="J467" s="617" t="s">
        <v>26</v>
      </c>
      <c r="K467" s="624"/>
      <c r="O467" s="616"/>
      <c r="P467" s="616"/>
      <c r="Q467" s="616"/>
      <c r="AA467" s="624"/>
      <c r="AB467" s="663">
        <v>39035115400</v>
      </c>
      <c r="AC467" s="663" t="s">
        <v>5399</v>
      </c>
      <c r="AD467" s="663" t="s">
        <v>4950</v>
      </c>
      <c r="AE467" s="663" t="s">
        <v>4931</v>
      </c>
      <c r="AF467" s="663" t="s">
        <v>4962</v>
      </c>
    </row>
    <row r="468" spans="1:32" s="608" customFormat="1" x14ac:dyDescent="0.25">
      <c r="A468" s="624"/>
      <c r="B468" s="617">
        <v>39035115900</v>
      </c>
      <c r="C468" s="617" t="s">
        <v>2136</v>
      </c>
      <c r="D468" s="617" t="s">
        <v>42</v>
      </c>
      <c r="E468" s="617" t="s">
        <v>4853</v>
      </c>
      <c r="F468" s="617" t="s">
        <v>24</v>
      </c>
      <c r="G468" s="624"/>
      <c r="H468" s="669">
        <v>44405</v>
      </c>
      <c r="I468" s="617" t="s">
        <v>4873</v>
      </c>
      <c r="J468" s="617" t="s">
        <v>26</v>
      </c>
      <c r="K468" s="624"/>
      <c r="O468" s="616"/>
      <c r="P468" s="616"/>
      <c r="Q468" s="616"/>
      <c r="AA468" s="624"/>
      <c r="AB468" s="663">
        <v>39035115700</v>
      </c>
      <c r="AC468" s="663" t="s">
        <v>5400</v>
      </c>
      <c r="AD468" s="663" t="s">
        <v>4950</v>
      </c>
      <c r="AE468" s="663" t="s">
        <v>4939</v>
      </c>
      <c r="AF468" s="663" t="s">
        <v>4962</v>
      </c>
    </row>
    <row r="469" spans="1:32" s="608" customFormat="1" x14ac:dyDescent="0.25">
      <c r="A469" s="624"/>
      <c r="B469" s="617">
        <v>39035116300</v>
      </c>
      <c r="C469" s="617" t="s">
        <v>2137</v>
      </c>
      <c r="D469" s="617" t="s">
        <v>42</v>
      </c>
      <c r="E469" s="617" t="s">
        <v>4853</v>
      </c>
      <c r="F469" s="617" t="s">
        <v>24</v>
      </c>
      <c r="G469" s="624"/>
      <c r="H469" s="669">
        <v>44504</v>
      </c>
      <c r="I469" s="617" t="s">
        <v>4873</v>
      </c>
      <c r="J469" s="617" t="s">
        <v>26</v>
      </c>
      <c r="K469" s="624"/>
      <c r="O469" s="616"/>
      <c r="P469" s="616"/>
      <c r="Q469" s="616"/>
      <c r="AA469" s="624"/>
      <c r="AB469" s="663">
        <v>39035115800</v>
      </c>
      <c r="AC469" s="663" t="s">
        <v>5401</v>
      </c>
      <c r="AD469" s="663" t="s">
        <v>4950</v>
      </c>
      <c r="AE469" s="663" t="s">
        <v>4928</v>
      </c>
      <c r="AF469" s="663" t="s">
        <v>4962</v>
      </c>
    </row>
    <row r="470" spans="1:32" s="608" customFormat="1" x14ac:dyDescent="0.25">
      <c r="A470" s="624"/>
      <c r="B470" s="617">
        <v>39035116400</v>
      </c>
      <c r="C470" s="617" t="s">
        <v>2138</v>
      </c>
      <c r="D470" s="617" t="s">
        <v>42</v>
      </c>
      <c r="E470" s="617" t="s">
        <v>4853</v>
      </c>
      <c r="F470" s="617" t="s">
        <v>24</v>
      </c>
      <c r="G470" s="624"/>
      <c r="H470" s="669">
        <v>44672</v>
      </c>
      <c r="I470" s="617" t="s">
        <v>4873</v>
      </c>
      <c r="J470" s="617" t="s">
        <v>26</v>
      </c>
      <c r="K470" s="624"/>
      <c r="O470" s="616"/>
      <c r="P470" s="616"/>
      <c r="Q470" s="616"/>
      <c r="AA470" s="624"/>
      <c r="AB470" s="663">
        <v>39035115900</v>
      </c>
      <c r="AC470" s="663" t="s">
        <v>5402</v>
      </c>
      <c r="AD470" s="663" t="s">
        <v>4950</v>
      </c>
      <c r="AE470" s="663" t="s">
        <v>4928</v>
      </c>
      <c r="AF470" s="663" t="s">
        <v>4962</v>
      </c>
    </row>
    <row r="471" spans="1:32" s="608" customFormat="1" x14ac:dyDescent="0.25">
      <c r="A471" s="624"/>
      <c r="B471" s="617">
        <v>39035116500</v>
      </c>
      <c r="C471" s="617" t="s">
        <v>2139</v>
      </c>
      <c r="D471" s="617" t="s">
        <v>42</v>
      </c>
      <c r="E471" s="617" t="s">
        <v>4853</v>
      </c>
      <c r="F471" s="617" t="s">
        <v>24</v>
      </c>
      <c r="G471" s="624"/>
      <c r="H471" s="669">
        <v>44438</v>
      </c>
      <c r="I471" s="617" t="s">
        <v>4873</v>
      </c>
      <c r="J471" s="617" t="s">
        <v>26</v>
      </c>
      <c r="K471" s="624"/>
      <c r="O471" s="616"/>
      <c r="P471" s="616"/>
      <c r="Q471" s="616"/>
      <c r="AA471" s="624"/>
      <c r="AB471" s="663">
        <v>39035116100</v>
      </c>
      <c r="AC471" s="663" t="s">
        <v>5403</v>
      </c>
      <c r="AD471" s="663" t="s">
        <v>4950</v>
      </c>
      <c r="AE471" s="663" t="s">
        <v>4939</v>
      </c>
      <c r="AF471" s="663" t="s">
        <v>4962</v>
      </c>
    </row>
    <row r="472" spans="1:32" s="608" customFormat="1" x14ac:dyDescent="0.25">
      <c r="A472" s="624"/>
      <c r="B472" s="617">
        <v>39035116600</v>
      </c>
      <c r="C472" s="617" t="s">
        <v>2140</v>
      </c>
      <c r="D472" s="617" t="s">
        <v>42</v>
      </c>
      <c r="E472" s="617" t="s">
        <v>4853</v>
      </c>
      <c r="F472" s="617" t="s">
        <v>24</v>
      </c>
      <c r="G472" s="624"/>
      <c r="H472" s="669">
        <v>44417</v>
      </c>
      <c r="I472" s="617" t="s">
        <v>4873</v>
      </c>
      <c r="J472" s="617" t="s">
        <v>26</v>
      </c>
      <c r="K472" s="624"/>
      <c r="O472" s="616"/>
      <c r="P472" s="616"/>
      <c r="Q472" s="616"/>
      <c r="AA472" s="624"/>
      <c r="AB472" s="663">
        <v>39035116200</v>
      </c>
      <c r="AC472" s="663" t="s">
        <v>5404</v>
      </c>
      <c r="AD472" s="663" t="s">
        <v>4948</v>
      </c>
      <c r="AE472" s="663" t="s">
        <v>4939</v>
      </c>
      <c r="AF472" s="663" t="s">
        <v>4962</v>
      </c>
    </row>
    <row r="473" spans="1:32" s="608" customFormat="1" x14ac:dyDescent="0.25">
      <c r="A473" s="624"/>
      <c r="B473" s="617">
        <v>39035116700</v>
      </c>
      <c r="C473" s="617" t="s">
        <v>2141</v>
      </c>
      <c r="D473" s="617" t="s">
        <v>42</v>
      </c>
      <c r="E473" s="617" t="s">
        <v>4853</v>
      </c>
      <c r="F473" s="617" t="s">
        <v>24</v>
      </c>
      <c r="G473" s="624"/>
      <c r="H473" s="669">
        <v>44454</v>
      </c>
      <c r="I473" s="617" t="s">
        <v>4873</v>
      </c>
      <c r="J473" s="617" t="s">
        <v>26</v>
      </c>
      <c r="K473" s="624"/>
      <c r="O473" s="616"/>
      <c r="P473" s="616"/>
      <c r="Q473" s="616"/>
      <c r="AA473" s="624"/>
      <c r="AB473" s="663">
        <v>39035116300</v>
      </c>
      <c r="AC473" s="663" t="s">
        <v>5405</v>
      </c>
      <c r="AD473" s="663" t="s">
        <v>4927</v>
      </c>
      <c r="AE473" s="663" t="s">
        <v>4934</v>
      </c>
      <c r="AF473" s="663" t="s">
        <v>4962</v>
      </c>
    </row>
    <row r="474" spans="1:32" s="608" customFormat="1" x14ac:dyDescent="0.25">
      <c r="A474" s="624"/>
      <c r="B474" s="617">
        <v>39035116800</v>
      </c>
      <c r="C474" s="617" t="s">
        <v>2142</v>
      </c>
      <c r="D474" s="617" t="s">
        <v>42</v>
      </c>
      <c r="E474" s="617" t="s">
        <v>4853</v>
      </c>
      <c r="F474" s="617" t="s">
        <v>24</v>
      </c>
      <c r="G474" s="624"/>
      <c r="H474" s="669">
        <v>43152</v>
      </c>
      <c r="I474" s="617" t="s">
        <v>1675</v>
      </c>
      <c r="J474" s="617" t="s">
        <v>26</v>
      </c>
      <c r="K474" s="624"/>
      <c r="O474" s="616"/>
      <c r="P474" s="616"/>
      <c r="Q474" s="616"/>
      <c r="AA474" s="624"/>
      <c r="AB474" s="663">
        <v>39035116400</v>
      </c>
      <c r="AC474" s="663" t="s">
        <v>5406</v>
      </c>
      <c r="AD474" s="663" t="s">
        <v>4950</v>
      </c>
      <c r="AE474" s="663" t="s">
        <v>4928</v>
      </c>
      <c r="AF474" s="663" t="s">
        <v>4962</v>
      </c>
    </row>
    <row r="475" spans="1:32" s="608" customFormat="1" x14ac:dyDescent="0.25">
      <c r="A475" s="624"/>
      <c r="B475" s="617">
        <v>39035116900</v>
      </c>
      <c r="C475" s="617" t="s">
        <v>2143</v>
      </c>
      <c r="D475" s="617" t="s">
        <v>42</v>
      </c>
      <c r="E475" s="617" t="s">
        <v>4853</v>
      </c>
      <c r="F475" s="617" t="s">
        <v>24</v>
      </c>
      <c r="G475" s="624"/>
      <c r="H475" s="669">
        <v>45654</v>
      </c>
      <c r="I475" s="617" t="s">
        <v>1675</v>
      </c>
      <c r="J475" s="617" t="s">
        <v>26</v>
      </c>
      <c r="K475" s="624"/>
      <c r="O475" s="616"/>
      <c r="P475" s="616"/>
      <c r="Q475" s="616"/>
      <c r="AA475" s="624"/>
      <c r="AB475" s="663">
        <v>39035116500</v>
      </c>
      <c r="AC475" s="663" t="s">
        <v>5407</v>
      </c>
      <c r="AD475" s="663" t="s">
        <v>4927</v>
      </c>
      <c r="AE475" s="663" t="s">
        <v>4939</v>
      </c>
      <c r="AF475" s="663" t="s">
        <v>4962</v>
      </c>
    </row>
    <row r="476" spans="1:32" s="608" customFormat="1" x14ac:dyDescent="0.25">
      <c r="A476" s="624"/>
      <c r="B476" s="617">
        <v>39035117101</v>
      </c>
      <c r="C476" s="617" t="s">
        <v>2144</v>
      </c>
      <c r="D476" s="617" t="s">
        <v>42</v>
      </c>
      <c r="E476" s="617" t="s">
        <v>4853</v>
      </c>
      <c r="F476" s="617" t="s">
        <v>24</v>
      </c>
      <c r="G476" s="624"/>
      <c r="H476" s="669">
        <v>44120</v>
      </c>
      <c r="I476" s="617" t="s">
        <v>4869</v>
      </c>
      <c r="J476" s="617" t="s">
        <v>26</v>
      </c>
      <c r="K476" s="624"/>
      <c r="O476" s="616"/>
      <c r="P476" s="616"/>
      <c r="Q476" s="616"/>
      <c r="AA476" s="624"/>
      <c r="AB476" s="663">
        <v>39035116600</v>
      </c>
      <c r="AC476" s="663" t="s">
        <v>5408</v>
      </c>
      <c r="AD476" s="663" t="s">
        <v>4927</v>
      </c>
      <c r="AE476" s="663" t="s">
        <v>4934</v>
      </c>
      <c r="AF476" s="663" t="s">
        <v>4962</v>
      </c>
    </row>
    <row r="477" spans="1:32" s="608" customFormat="1" x14ac:dyDescent="0.25">
      <c r="A477" s="624"/>
      <c r="B477" s="617">
        <v>39035117102</v>
      </c>
      <c r="C477" s="617" t="s">
        <v>2145</v>
      </c>
      <c r="D477" s="617" t="s">
        <v>42</v>
      </c>
      <c r="E477" s="617" t="s">
        <v>4853</v>
      </c>
      <c r="F477" s="617" t="s">
        <v>24</v>
      </c>
      <c r="G477" s="624"/>
      <c r="H477" s="669">
        <v>44123</v>
      </c>
      <c r="I477" s="617" t="s">
        <v>4869</v>
      </c>
      <c r="J477" s="617" t="s">
        <v>26</v>
      </c>
      <c r="K477" s="624"/>
      <c r="O477" s="616"/>
      <c r="P477" s="616"/>
      <c r="Q477" s="616"/>
      <c r="AA477" s="624"/>
      <c r="AB477" s="663">
        <v>39035116700</v>
      </c>
      <c r="AC477" s="663" t="s">
        <v>5409</v>
      </c>
      <c r="AD477" s="663" t="s">
        <v>4950</v>
      </c>
      <c r="AE477" s="663" t="s">
        <v>4934</v>
      </c>
      <c r="AF477" s="663" t="s">
        <v>4962</v>
      </c>
    </row>
    <row r="478" spans="1:32" s="608" customFormat="1" x14ac:dyDescent="0.25">
      <c r="A478" s="624"/>
      <c r="B478" s="617">
        <v>39035117201</v>
      </c>
      <c r="C478" s="617" t="s">
        <v>2146</v>
      </c>
      <c r="D478" s="617" t="s">
        <v>42</v>
      </c>
      <c r="E478" s="617" t="s">
        <v>4853</v>
      </c>
      <c r="F478" s="617" t="s">
        <v>24</v>
      </c>
      <c r="G478" s="624"/>
      <c r="H478" s="669">
        <v>44119</v>
      </c>
      <c r="I478" s="617" t="s">
        <v>4869</v>
      </c>
      <c r="J478" s="617" t="s">
        <v>26</v>
      </c>
      <c r="K478" s="624"/>
      <c r="O478" s="616"/>
      <c r="P478" s="616"/>
      <c r="Q478" s="616"/>
      <c r="AA478" s="624"/>
      <c r="AB478" s="663">
        <v>39035116800</v>
      </c>
      <c r="AC478" s="663" t="s">
        <v>5410</v>
      </c>
      <c r="AD478" s="663" t="s">
        <v>4927</v>
      </c>
      <c r="AE478" s="663" t="s">
        <v>4934</v>
      </c>
      <c r="AF478" s="663" t="s">
        <v>4962</v>
      </c>
    </row>
    <row r="479" spans="1:32" s="608" customFormat="1" x14ac:dyDescent="0.25">
      <c r="A479" s="624"/>
      <c r="B479" s="617">
        <v>39035117203</v>
      </c>
      <c r="C479" s="617" t="s">
        <v>2147</v>
      </c>
      <c r="D479" s="617" t="s">
        <v>42</v>
      </c>
      <c r="E479" s="617" t="s">
        <v>4853</v>
      </c>
      <c r="F479" s="617" t="s">
        <v>24</v>
      </c>
      <c r="G479" s="624"/>
      <c r="H479" s="669">
        <v>41011</v>
      </c>
      <c r="I479" s="617" t="s">
        <v>4867</v>
      </c>
      <c r="J479" s="617" t="s">
        <v>26</v>
      </c>
      <c r="K479" s="624"/>
      <c r="O479" s="616"/>
      <c r="P479" s="616"/>
      <c r="Q479" s="616"/>
      <c r="AA479" s="624"/>
      <c r="AB479" s="663">
        <v>39035116900</v>
      </c>
      <c r="AC479" s="663" t="s">
        <v>5411</v>
      </c>
      <c r="AD479" s="663" t="s">
        <v>4950</v>
      </c>
      <c r="AE479" s="663" t="s">
        <v>4931</v>
      </c>
      <c r="AF479" s="663" t="s">
        <v>4962</v>
      </c>
    </row>
    <row r="480" spans="1:32" s="608" customFormat="1" x14ac:dyDescent="0.25">
      <c r="A480" s="624"/>
      <c r="B480" s="617">
        <v>39035117300</v>
      </c>
      <c r="C480" s="617" t="s">
        <v>2148</v>
      </c>
      <c r="D480" s="617" t="s">
        <v>42</v>
      </c>
      <c r="E480" s="617" t="s">
        <v>4853</v>
      </c>
      <c r="F480" s="617" t="s">
        <v>24</v>
      </c>
      <c r="G480" s="624"/>
      <c r="H480" s="669">
        <v>45113</v>
      </c>
      <c r="I480" s="617" t="s">
        <v>4867</v>
      </c>
      <c r="J480" s="617" t="s">
        <v>26</v>
      </c>
      <c r="K480" s="624"/>
      <c r="O480" s="616"/>
      <c r="P480" s="616"/>
      <c r="Q480" s="616"/>
      <c r="AA480" s="624"/>
      <c r="AB480" s="663">
        <v>39035117101</v>
      </c>
      <c r="AC480" s="663" t="s">
        <v>5412</v>
      </c>
      <c r="AD480" s="663" t="s">
        <v>4950</v>
      </c>
      <c r="AE480" s="663" t="s">
        <v>4931</v>
      </c>
      <c r="AF480" s="663" t="s">
        <v>4962</v>
      </c>
    </row>
    <row r="481" spans="1:32" s="608" customFormat="1" x14ac:dyDescent="0.25">
      <c r="A481" s="624"/>
      <c r="B481" s="617">
        <v>39035117400</v>
      </c>
      <c r="C481" s="617" t="s">
        <v>2149</v>
      </c>
      <c r="D481" s="617" t="s">
        <v>42</v>
      </c>
      <c r="E481" s="617" t="s">
        <v>4853</v>
      </c>
      <c r="F481" s="617" t="s">
        <v>24</v>
      </c>
      <c r="G481" s="624"/>
      <c r="H481" s="669">
        <v>43229</v>
      </c>
      <c r="I481" s="617" t="s">
        <v>4871</v>
      </c>
      <c r="J481" s="617" t="s">
        <v>26</v>
      </c>
      <c r="K481" s="624"/>
      <c r="O481" s="616"/>
      <c r="P481" s="616"/>
      <c r="Q481" s="616"/>
      <c r="AA481" s="624"/>
      <c r="AB481" s="663">
        <v>39035117102</v>
      </c>
      <c r="AC481" s="663" t="s">
        <v>5413</v>
      </c>
      <c r="AD481" s="663" t="s">
        <v>4927</v>
      </c>
      <c r="AE481" s="663" t="s">
        <v>4934</v>
      </c>
      <c r="AF481" s="663" t="s">
        <v>4962</v>
      </c>
    </row>
    <row r="482" spans="1:32" s="608" customFormat="1" x14ac:dyDescent="0.25">
      <c r="A482" s="624"/>
      <c r="B482" s="617">
        <v>39035117500</v>
      </c>
      <c r="C482" s="617" t="s">
        <v>2150</v>
      </c>
      <c r="D482" s="617" t="s">
        <v>42</v>
      </c>
      <c r="E482" s="617" t="s">
        <v>4853</v>
      </c>
      <c r="F482" s="617" t="s">
        <v>24</v>
      </c>
      <c r="G482" s="624"/>
      <c r="H482" s="669">
        <v>43076</v>
      </c>
      <c r="I482" s="617" t="s">
        <v>4871</v>
      </c>
      <c r="J482" s="617" t="s">
        <v>26</v>
      </c>
      <c r="K482" s="624"/>
      <c r="O482" s="616"/>
      <c r="P482" s="616"/>
      <c r="Q482" s="616"/>
      <c r="AA482" s="624"/>
      <c r="AB482" s="663">
        <v>39035117201</v>
      </c>
      <c r="AC482" s="663" t="s">
        <v>5414</v>
      </c>
      <c r="AD482" s="663" t="s">
        <v>4927</v>
      </c>
      <c r="AE482" s="663" t="s">
        <v>4931</v>
      </c>
      <c r="AF482" s="663" t="s">
        <v>4962</v>
      </c>
    </row>
    <row r="483" spans="1:32" s="608" customFormat="1" x14ac:dyDescent="0.25">
      <c r="A483" s="624"/>
      <c r="B483" s="617">
        <v>39035117600</v>
      </c>
      <c r="C483" s="617" t="s">
        <v>2151</v>
      </c>
      <c r="D483" s="617" t="s">
        <v>42</v>
      </c>
      <c r="E483" s="617" t="s">
        <v>4853</v>
      </c>
      <c r="F483" s="617" t="s">
        <v>24</v>
      </c>
      <c r="G483" s="624"/>
      <c r="H483" s="669">
        <v>43164</v>
      </c>
      <c r="I483" s="617" t="s">
        <v>4871</v>
      </c>
      <c r="J483" s="617" t="s">
        <v>26</v>
      </c>
      <c r="K483" s="624"/>
      <c r="O483" s="616"/>
      <c r="P483" s="616"/>
      <c r="Q483" s="616"/>
      <c r="AA483" s="624"/>
      <c r="AB483" s="663">
        <v>39035117202</v>
      </c>
      <c r="AC483" s="663" t="s">
        <v>5415</v>
      </c>
      <c r="AD483" s="663" t="s">
        <v>4950</v>
      </c>
      <c r="AE483" s="663" t="s">
        <v>4931</v>
      </c>
      <c r="AF483" s="663" t="s">
        <v>4962</v>
      </c>
    </row>
    <row r="484" spans="1:32" s="608" customFormat="1" x14ac:dyDescent="0.25">
      <c r="A484" s="624"/>
      <c r="B484" s="617">
        <v>39035117700</v>
      </c>
      <c r="C484" s="617" t="s">
        <v>2152</v>
      </c>
      <c r="D484" s="617" t="s">
        <v>42</v>
      </c>
      <c r="E484" s="617" t="s">
        <v>4853</v>
      </c>
      <c r="F484" s="617" t="s">
        <v>24</v>
      </c>
      <c r="G484" s="624"/>
      <c r="H484" s="669">
        <v>43040</v>
      </c>
      <c r="I484" s="617" t="s">
        <v>1678</v>
      </c>
      <c r="J484" s="617" t="s">
        <v>26</v>
      </c>
      <c r="K484" s="624"/>
      <c r="O484" s="616"/>
      <c r="P484" s="616"/>
      <c r="Q484" s="616"/>
      <c r="AA484" s="624"/>
      <c r="AB484" s="663">
        <v>39035117300</v>
      </c>
      <c r="AC484" s="663" t="s">
        <v>5416</v>
      </c>
      <c r="AD484" s="663" t="s">
        <v>4927</v>
      </c>
      <c r="AE484" s="663" t="s">
        <v>4942</v>
      </c>
      <c r="AF484" s="663" t="s">
        <v>4962</v>
      </c>
    </row>
    <row r="485" spans="1:32" s="608" customFormat="1" x14ac:dyDescent="0.25">
      <c r="A485" s="624"/>
      <c r="B485" s="617">
        <v>39035117800</v>
      </c>
      <c r="C485" s="617" t="s">
        <v>2153</v>
      </c>
      <c r="D485" s="617" t="s">
        <v>42</v>
      </c>
      <c r="E485" s="617" t="s">
        <v>4853</v>
      </c>
      <c r="F485" s="617" t="s">
        <v>24</v>
      </c>
      <c r="G485" s="624"/>
      <c r="H485" s="669">
        <v>43045</v>
      </c>
      <c r="I485" s="617" t="s">
        <v>1678</v>
      </c>
      <c r="J485" s="617" t="s">
        <v>26</v>
      </c>
      <c r="K485" s="624"/>
      <c r="O485" s="616"/>
      <c r="P485" s="616"/>
      <c r="Q485" s="616"/>
      <c r="AA485" s="624"/>
      <c r="AB485" s="663">
        <v>39035117400</v>
      </c>
      <c r="AC485" s="663" t="s">
        <v>5417</v>
      </c>
      <c r="AD485" s="663" t="s">
        <v>4927</v>
      </c>
      <c r="AE485" s="663" t="s">
        <v>4931</v>
      </c>
      <c r="AF485" s="663" t="s">
        <v>4962</v>
      </c>
    </row>
    <row r="486" spans="1:32" s="608" customFormat="1" x14ac:dyDescent="0.25">
      <c r="A486" s="624"/>
      <c r="B486" s="617">
        <v>39035117900</v>
      </c>
      <c r="C486" s="617" t="s">
        <v>2154</v>
      </c>
      <c r="D486" s="617" t="s">
        <v>42</v>
      </c>
      <c r="E486" s="617" t="s">
        <v>4853</v>
      </c>
      <c r="F486" s="617" t="s">
        <v>24</v>
      </c>
      <c r="G486" s="624"/>
      <c r="H486" s="669">
        <v>43402</v>
      </c>
      <c r="I486" s="617" t="s">
        <v>4872</v>
      </c>
      <c r="J486" s="617" t="s">
        <v>26</v>
      </c>
      <c r="K486" s="624"/>
      <c r="O486" s="616"/>
      <c r="P486" s="616"/>
      <c r="Q486" s="616"/>
      <c r="AA486" s="624"/>
      <c r="AB486" s="663">
        <v>39035117500</v>
      </c>
      <c r="AC486" s="663" t="s">
        <v>5418</v>
      </c>
      <c r="AD486" s="663" t="s">
        <v>4927</v>
      </c>
      <c r="AE486" s="663" t="s">
        <v>4928</v>
      </c>
      <c r="AF486" s="663" t="s">
        <v>4962</v>
      </c>
    </row>
    <row r="487" spans="1:32" s="608" customFormat="1" x14ac:dyDescent="0.25">
      <c r="A487" s="624"/>
      <c r="B487" s="617">
        <v>39035118101</v>
      </c>
      <c r="C487" s="617" t="s">
        <v>2155</v>
      </c>
      <c r="D487" s="617" t="s">
        <v>42</v>
      </c>
      <c r="E487" s="617" t="s">
        <v>4853</v>
      </c>
      <c r="F487" s="617" t="s">
        <v>24</v>
      </c>
      <c r="G487" s="624"/>
      <c r="H487" s="669">
        <v>43612</v>
      </c>
      <c r="I487" s="617" t="s">
        <v>4872</v>
      </c>
      <c r="J487" s="617" t="s">
        <v>26</v>
      </c>
      <c r="K487" s="624"/>
      <c r="O487" s="616"/>
      <c r="P487" s="616"/>
      <c r="Q487" s="616"/>
      <c r="AA487" s="624"/>
      <c r="AB487" s="663">
        <v>39035117600</v>
      </c>
      <c r="AC487" s="663" t="s">
        <v>5419</v>
      </c>
      <c r="AD487" s="663" t="s">
        <v>4948</v>
      </c>
      <c r="AE487" s="663" t="s">
        <v>4928</v>
      </c>
      <c r="AF487" s="663" t="s">
        <v>4962</v>
      </c>
    </row>
    <row r="488" spans="1:32" s="608" customFormat="1" x14ac:dyDescent="0.25">
      <c r="A488" s="624"/>
      <c r="B488" s="617">
        <v>39035118200</v>
      </c>
      <c r="C488" s="617" t="s">
        <v>2156</v>
      </c>
      <c r="D488" s="617" t="s">
        <v>42</v>
      </c>
      <c r="E488" s="617" t="s">
        <v>4853</v>
      </c>
      <c r="F488" s="617" t="s">
        <v>24</v>
      </c>
      <c r="G488" s="624"/>
      <c r="H488" s="669">
        <v>43403</v>
      </c>
      <c r="I488" s="617" t="s">
        <v>4872</v>
      </c>
      <c r="J488" s="617" t="s">
        <v>26</v>
      </c>
      <c r="K488" s="624"/>
      <c r="O488" s="616"/>
      <c r="P488" s="616"/>
      <c r="Q488" s="616"/>
      <c r="AA488" s="624"/>
      <c r="AB488" s="663">
        <v>39035117700</v>
      </c>
      <c r="AC488" s="663" t="s">
        <v>5420</v>
      </c>
      <c r="AD488" s="663" t="s">
        <v>4941</v>
      </c>
      <c r="AE488" s="663" t="s">
        <v>4928</v>
      </c>
      <c r="AF488" s="663" t="s">
        <v>4962</v>
      </c>
    </row>
    <row r="489" spans="1:32" s="608" customFormat="1" x14ac:dyDescent="0.25">
      <c r="A489" s="624"/>
      <c r="B489" s="617">
        <v>39035118301</v>
      </c>
      <c r="C489" s="617" t="s">
        <v>2157</v>
      </c>
      <c r="D489" s="617" t="s">
        <v>42</v>
      </c>
      <c r="E489" s="617" t="s">
        <v>4853</v>
      </c>
      <c r="F489" s="617" t="s">
        <v>24</v>
      </c>
      <c r="G489" s="624"/>
      <c r="H489" s="669">
        <v>43525</v>
      </c>
      <c r="I489" s="617" t="s">
        <v>4872</v>
      </c>
      <c r="J489" s="617" t="s">
        <v>26</v>
      </c>
      <c r="K489" s="624"/>
      <c r="O489" s="616"/>
      <c r="P489" s="616"/>
      <c r="Q489" s="616"/>
      <c r="AA489" s="624"/>
      <c r="AB489" s="663">
        <v>39035117800</v>
      </c>
      <c r="AC489" s="663" t="s">
        <v>5421</v>
      </c>
      <c r="AD489" s="663" t="s">
        <v>4927</v>
      </c>
      <c r="AE489" s="663" t="s">
        <v>4942</v>
      </c>
      <c r="AF489" s="663" t="s">
        <v>4962</v>
      </c>
    </row>
    <row r="490" spans="1:32" s="608" customFormat="1" x14ac:dyDescent="0.25">
      <c r="A490" s="624"/>
      <c r="B490" s="617">
        <v>39035118602</v>
      </c>
      <c r="C490" s="617" t="s">
        <v>2158</v>
      </c>
      <c r="D490" s="617" t="s">
        <v>42</v>
      </c>
      <c r="E490" s="617" t="s">
        <v>4853</v>
      </c>
      <c r="F490" s="617" t="s">
        <v>24</v>
      </c>
      <c r="G490" s="624"/>
      <c r="H490" s="669">
        <v>44817</v>
      </c>
      <c r="I490" s="617" t="s">
        <v>4872</v>
      </c>
      <c r="J490" s="617" t="s">
        <v>26</v>
      </c>
      <c r="K490" s="624"/>
      <c r="O490" s="616"/>
      <c r="P490" s="616"/>
      <c r="Q490" s="616"/>
      <c r="AA490" s="624"/>
      <c r="AB490" s="663">
        <v>39035117900</v>
      </c>
      <c r="AC490" s="663" t="s">
        <v>5422</v>
      </c>
      <c r="AD490" s="663" t="s">
        <v>4950</v>
      </c>
      <c r="AE490" s="663" t="s">
        <v>4928</v>
      </c>
      <c r="AF490" s="663" t="s">
        <v>4962</v>
      </c>
    </row>
    <row r="491" spans="1:32" s="608" customFormat="1" x14ac:dyDescent="0.25">
      <c r="A491" s="624"/>
      <c r="B491" s="617">
        <v>39035118800</v>
      </c>
      <c r="C491" s="617" t="s">
        <v>2159</v>
      </c>
      <c r="D491" s="617" t="s">
        <v>42</v>
      </c>
      <c r="E491" s="617" t="s">
        <v>4853</v>
      </c>
      <c r="F491" s="617" t="s">
        <v>24</v>
      </c>
      <c r="G491" s="624"/>
      <c r="H491" s="669">
        <v>44646</v>
      </c>
      <c r="I491" s="617" t="s">
        <v>4874</v>
      </c>
      <c r="J491" s="617" t="s">
        <v>26</v>
      </c>
      <c r="K491" s="624"/>
      <c r="O491" s="616"/>
      <c r="P491" s="616"/>
      <c r="Q491" s="616"/>
      <c r="AA491" s="624"/>
      <c r="AB491" s="663">
        <v>39035118101</v>
      </c>
      <c r="AC491" s="663" t="s">
        <v>5423</v>
      </c>
      <c r="AD491" s="663" t="s">
        <v>4948</v>
      </c>
      <c r="AE491" s="663" t="s">
        <v>5332</v>
      </c>
      <c r="AF491" s="663" t="s">
        <v>4962</v>
      </c>
    </row>
    <row r="492" spans="1:32" s="608" customFormat="1" x14ac:dyDescent="0.25">
      <c r="A492" s="624"/>
      <c r="B492" s="617">
        <v>39035118900</v>
      </c>
      <c r="C492" s="617" t="s">
        <v>2160</v>
      </c>
      <c r="D492" s="617" t="s">
        <v>42</v>
      </c>
      <c r="E492" s="617" t="s">
        <v>4853</v>
      </c>
      <c r="F492" s="617" t="s">
        <v>24</v>
      </c>
      <c r="G492" s="624"/>
      <c r="H492" s="669">
        <v>44641</v>
      </c>
      <c r="I492" s="617" t="s">
        <v>4874</v>
      </c>
      <c r="J492" s="617" t="s">
        <v>26</v>
      </c>
      <c r="K492" s="624"/>
      <c r="O492" s="616"/>
      <c r="P492" s="616"/>
      <c r="Q492" s="616"/>
      <c r="AA492" s="624"/>
      <c r="AB492" s="663">
        <v>39035118200</v>
      </c>
      <c r="AC492" s="663" t="s">
        <v>5424</v>
      </c>
      <c r="AD492" s="663" t="s">
        <v>4950</v>
      </c>
      <c r="AE492" s="663" t="s">
        <v>4931</v>
      </c>
      <c r="AF492" s="663" t="s">
        <v>4962</v>
      </c>
    </row>
    <row r="493" spans="1:32" s="608" customFormat="1" x14ac:dyDescent="0.25">
      <c r="A493" s="624"/>
      <c r="B493" s="617">
        <v>39035119401</v>
      </c>
      <c r="C493" s="617" t="s">
        <v>2161</v>
      </c>
      <c r="D493" s="617" t="s">
        <v>42</v>
      </c>
      <c r="E493" s="617" t="s">
        <v>4853</v>
      </c>
      <c r="F493" s="617" t="s">
        <v>26</v>
      </c>
      <c r="G493" s="624"/>
      <c r="H493" s="669">
        <v>44632</v>
      </c>
      <c r="I493" s="617" t="s">
        <v>4874</v>
      </c>
      <c r="J493" s="617" t="s">
        <v>26</v>
      </c>
      <c r="K493" s="624"/>
      <c r="O493" s="616"/>
      <c r="P493" s="616"/>
      <c r="Q493" s="616"/>
      <c r="AA493" s="624"/>
      <c r="AB493" s="663">
        <v>39035118301</v>
      </c>
      <c r="AC493" s="663" t="s">
        <v>5425</v>
      </c>
      <c r="AD493" s="663" t="s">
        <v>4948</v>
      </c>
      <c r="AE493" s="663" t="s">
        <v>4939</v>
      </c>
      <c r="AF493" s="663" t="s">
        <v>4962</v>
      </c>
    </row>
    <row r="494" spans="1:32" s="608" customFormat="1" x14ac:dyDescent="0.25">
      <c r="A494" s="624"/>
      <c r="B494" s="617">
        <v>39035119402</v>
      </c>
      <c r="C494" s="617" t="s">
        <v>2162</v>
      </c>
      <c r="D494" s="617" t="s">
        <v>42</v>
      </c>
      <c r="E494" s="617" t="s">
        <v>4853</v>
      </c>
      <c r="F494" s="617" t="s">
        <v>24</v>
      </c>
      <c r="G494" s="624"/>
      <c r="H494" s="669">
        <v>44714</v>
      </c>
      <c r="I494" s="617" t="s">
        <v>4874</v>
      </c>
      <c r="J494" s="617" t="s">
        <v>26</v>
      </c>
      <c r="K494" s="624"/>
      <c r="O494" s="616"/>
      <c r="P494" s="616"/>
      <c r="Q494" s="616"/>
      <c r="AA494" s="624"/>
      <c r="AB494" s="663">
        <v>39035118400</v>
      </c>
      <c r="AC494" s="663" t="s">
        <v>5426</v>
      </c>
      <c r="AD494" s="663" t="s">
        <v>4950</v>
      </c>
      <c r="AE494" s="663" t="s">
        <v>4928</v>
      </c>
      <c r="AF494" s="663" t="s">
        <v>4962</v>
      </c>
    </row>
    <row r="495" spans="1:32" s="608" customFormat="1" x14ac:dyDescent="0.25">
      <c r="A495" s="624"/>
      <c r="B495" s="617">
        <v>39035119501</v>
      </c>
      <c r="C495" s="617" t="s">
        <v>2163</v>
      </c>
      <c r="D495" s="617" t="s">
        <v>42</v>
      </c>
      <c r="E495" s="617" t="s">
        <v>4853</v>
      </c>
      <c r="F495" s="617" t="s">
        <v>26</v>
      </c>
      <c r="G495" s="624"/>
      <c r="H495" s="669">
        <v>44427</v>
      </c>
      <c r="I495" s="617" t="s">
        <v>4874</v>
      </c>
      <c r="J495" s="617" t="s">
        <v>26</v>
      </c>
      <c r="K495" s="624"/>
      <c r="O495" s="616"/>
      <c r="P495" s="616"/>
      <c r="Q495" s="616"/>
      <c r="AA495" s="624"/>
      <c r="AB495" s="663">
        <v>39035118500</v>
      </c>
      <c r="AC495" s="663" t="s">
        <v>5427</v>
      </c>
      <c r="AD495" s="663" t="s">
        <v>4950</v>
      </c>
      <c r="AE495" s="663" t="s">
        <v>5006</v>
      </c>
      <c r="AF495" s="663" t="s">
        <v>4962</v>
      </c>
    </row>
    <row r="496" spans="1:32" s="608" customFormat="1" x14ac:dyDescent="0.25">
      <c r="A496" s="624"/>
      <c r="B496" s="617">
        <v>39035119502</v>
      </c>
      <c r="C496" s="617" t="s">
        <v>2164</v>
      </c>
      <c r="D496" s="617" t="s">
        <v>42</v>
      </c>
      <c r="E496" s="617" t="s">
        <v>4853</v>
      </c>
      <c r="F496" s="617" t="s">
        <v>24</v>
      </c>
      <c r="G496" s="624"/>
      <c r="H496" s="669">
        <v>44618</v>
      </c>
      <c r="I496" s="617" t="s">
        <v>4874</v>
      </c>
      <c r="J496" s="617" t="s">
        <v>26</v>
      </c>
      <c r="K496" s="624"/>
      <c r="O496" s="616"/>
      <c r="P496" s="616"/>
      <c r="Q496" s="616"/>
      <c r="AA496" s="624"/>
      <c r="AB496" s="663">
        <v>39035118602</v>
      </c>
      <c r="AC496" s="663" t="s">
        <v>5428</v>
      </c>
      <c r="AD496" s="663" t="s">
        <v>4927</v>
      </c>
      <c r="AE496" s="663" t="s">
        <v>4931</v>
      </c>
      <c r="AF496" s="663" t="s">
        <v>4962</v>
      </c>
    </row>
    <row r="497" spans="1:32" s="608" customFormat="1" x14ac:dyDescent="0.25">
      <c r="A497" s="624"/>
      <c r="B497" s="617">
        <v>39035119600</v>
      </c>
      <c r="C497" s="617" t="s">
        <v>2165</v>
      </c>
      <c r="D497" s="617" t="s">
        <v>42</v>
      </c>
      <c r="E497" s="617" t="s">
        <v>4853</v>
      </c>
      <c r="F497" s="617" t="s">
        <v>24</v>
      </c>
      <c r="G497" s="624"/>
      <c r="H497" s="669">
        <v>44306</v>
      </c>
      <c r="I497" s="617" t="s">
        <v>4868</v>
      </c>
      <c r="J497" s="617" t="s">
        <v>26</v>
      </c>
      <c r="K497" s="624"/>
      <c r="O497" s="616"/>
      <c r="P497" s="616"/>
      <c r="Q497" s="616"/>
      <c r="AA497" s="624"/>
      <c r="AB497" s="663">
        <v>39035118700</v>
      </c>
      <c r="AC497" s="663" t="s">
        <v>5429</v>
      </c>
      <c r="AD497" s="663" t="s">
        <v>4938</v>
      </c>
      <c r="AE497" s="663" t="s">
        <v>4934</v>
      </c>
      <c r="AF497" s="663" t="s">
        <v>4962</v>
      </c>
    </row>
    <row r="498" spans="1:32" s="608" customFormat="1" x14ac:dyDescent="0.25">
      <c r="A498" s="624"/>
      <c r="B498" s="617">
        <v>39035119701</v>
      </c>
      <c r="C498" s="617" t="s">
        <v>2166</v>
      </c>
      <c r="D498" s="617" t="s">
        <v>42</v>
      </c>
      <c r="E498" s="617" t="s">
        <v>4853</v>
      </c>
      <c r="F498" s="617" t="s">
        <v>24</v>
      </c>
      <c r="G498" s="624"/>
      <c r="H498" s="669">
        <v>44234</v>
      </c>
      <c r="I498" s="617" t="s">
        <v>4868</v>
      </c>
      <c r="J498" s="617" t="s">
        <v>26</v>
      </c>
      <c r="K498" s="624"/>
      <c r="O498" s="616"/>
      <c r="P498" s="616"/>
      <c r="Q498" s="616"/>
      <c r="AA498" s="624"/>
      <c r="AB498" s="663">
        <v>39035118800</v>
      </c>
      <c r="AC498" s="663" t="s">
        <v>5430</v>
      </c>
      <c r="AD498" s="663" t="s">
        <v>4938</v>
      </c>
      <c r="AE498" s="663" t="s">
        <v>4931</v>
      </c>
      <c r="AF498" s="663" t="s">
        <v>4962</v>
      </c>
    </row>
    <row r="499" spans="1:32" s="608" customFormat="1" x14ac:dyDescent="0.25">
      <c r="A499" s="624"/>
      <c r="B499" s="617">
        <v>39035119702</v>
      </c>
      <c r="C499" s="617" t="s">
        <v>2167</v>
      </c>
      <c r="D499" s="617" t="s">
        <v>42</v>
      </c>
      <c r="E499" s="617" t="s">
        <v>4853</v>
      </c>
      <c r="F499" s="617" t="s">
        <v>24</v>
      </c>
      <c r="G499" s="624"/>
      <c r="H499" s="669">
        <v>45385</v>
      </c>
      <c r="I499" s="617" t="s">
        <v>4870</v>
      </c>
      <c r="J499" s="617" t="s">
        <v>26</v>
      </c>
      <c r="K499" s="624"/>
      <c r="O499" s="616"/>
      <c r="P499" s="616"/>
      <c r="Q499" s="616"/>
      <c r="AA499" s="624"/>
      <c r="AB499" s="663">
        <v>39035118900</v>
      </c>
      <c r="AC499" s="663" t="s">
        <v>5431</v>
      </c>
      <c r="AD499" s="663" t="s">
        <v>4941</v>
      </c>
      <c r="AE499" s="663" t="s">
        <v>4942</v>
      </c>
      <c r="AF499" s="663" t="s">
        <v>4962</v>
      </c>
    </row>
    <row r="500" spans="1:32" s="608" customFormat="1" x14ac:dyDescent="0.25">
      <c r="A500" s="624"/>
      <c r="B500" s="617">
        <v>39035119800</v>
      </c>
      <c r="C500" s="617" t="s">
        <v>2168</v>
      </c>
      <c r="D500" s="617" t="s">
        <v>42</v>
      </c>
      <c r="E500" s="617" t="s">
        <v>4853</v>
      </c>
      <c r="F500" s="617" t="s">
        <v>24</v>
      </c>
      <c r="G500" s="624"/>
      <c r="H500" s="669">
        <v>45410</v>
      </c>
      <c r="I500" s="617" t="s">
        <v>4870</v>
      </c>
      <c r="J500" s="617" t="s">
        <v>26</v>
      </c>
      <c r="K500" s="624"/>
      <c r="O500" s="616"/>
      <c r="P500" s="616"/>
      <c r="Q500" s="616"/>
      <c r="AA500" s="624"/>
      <c r="AB500" s="663">
        <v>39035119100</v>
      </c>
      <c r="AC500" s="663" t="s">
        <v>5432</v>
      </c>
      <c r="AD500" s="663" t="s">
        <v>4938</v>
      </c>
      <c r="AE500" s="663" t="s">
        <v>4934</v>
      </c>
      <c r="AF500" s="663" t="s">
        <v>4962</v>
      </c>
    </row>
    <row r="501" spans="1:32" s="608" customFormat="1" x14ac:dyDescent="0.25">
      <c r="A501" s="624"/>
      <c r="B501" s="617">
        <v>39035119900</v>
      </c>
      <c r="C501" s="617" t="s">
        <v>2169</v>
      </c>
      <c r="D501" s="617" t="s">
        <v>42</v>
      </c>
      <c r="E501" s="617" t="s">
        <v>4853</v>
      </c>
      <c r="F501" s="617" t="s">
        <v>24</v>
      </c>
      <c r="G501" s="624"/>
      <c r="H501" s="669">
        <v>45384</v>
      </c>
      <c r="I501" s="617" t="s">
        <v>4870</v>
      </c>
      <c r="J501" s="617" t="s">
        <v>26</v>
      </c>
      <c r="K501" s="624"/>
      <c r="O501" s="616"/>
      <c r="P501" s="616"/>
      <c r="Q501" s="616"/>
      <c r="AA501" s="624"/>
      <c r="AB501" s="663">
        <v>39035119202</v>
      </c>
      <c r="AC501" s="663" t="s">
        <v>5433</v>
      </c>
      <c r="AD501" s="663" t="s">
        <v>4948</v>
      </c>
      <c r="AE501" s="663" t="s">
        <v>4931</v>
      </c>
      <c r="AF501" s="663" t="s">
        <v>4962</v>
      </c>
    </row>
    <row r="502" spans="1:32" s="608" customFormat="1" x14ac:dyDescent="0.25">
      <c r="A502" s="624"/>
      <c r="B502" s="617">
        <v>39035120200</v>
      </c>
      <c r="C502" s="617" t="s">
        <v>2170</v>
      </c>
      <c r="D502" s="617" t="s">
        <v>42</v>
      </c>
      <c r="E502" s="617" t="s">
        <v>4853</v>
      </c>
      <c r="F502" s="617" t="s">
        <v>24</v>
      </c>
      <c r="G502" s="624"/>
      <c r="H502" s="669">
        <v>45381</v>
      </c>
      <c r="I502" s="617" t="s">
        <v>4870</v>
      </c>
      <c r="J502" s="617" t="s">
        <v>26</v>
      </c>
      <c r="K502" s="624"/>
      <c r="O502" s="616"/>
      <c r="P502" s="616"/>
      <c r="Q502" s="616"/>
      <c r="AA502" s="624"/>
      <c r="AB502" s="663">
        <v>39035119300</v>
      </c>
      <c r="AC502" s="663" t="s">
        <v>5434</v>
      </c>
      <c r="AD502" s="663" t="s">
        <v>4927</v>
      </c>
      <c r="AE502" s="663" t="s">
        <v>4931</v>
      </c>
      <c r="AF502" s="663" t="s">
        <v>4962</v>
      </c>
    </row>
    <row r="503" spans="1:32" s="608" customFormat="1" x14ac:dyDescent="0.25">
      <c r="A503" s="624"/>
      <c r="B503" s="617">
        <v>39035120400</v>
      </c>
      <c r="C503" s="617" t="s">
        <v>2171</v>
      </c>
      <c r="D503" s="617" t="s">
        <v>42</v>
      </c>
      <c r="E503" s="617" t="s">
        <v>4853</v>
      </c>
      <c r="F503" s="617" t="s">
        <v>24</v>
      </c>
      <c r="G503" s="624"/>
      <c r="H503" s="669">
        <v>44485</v>
      </c>
      <c r="I503" s="617" t="s">
        <v>4873</v>
      </c>
      <c r="J503" s="617" t="s">
        <v>26</v>
      </c>
      <c r="K503" s="624"/>
      <c r="O503" s="616"/>
      <c r="P503" s="616"/>
      <c r="Q503" s="616"/>
      <c r="AA503" s="624"/>
      <c r="AB503" s="663">
        <v>39035119401</v>
      </c>
      <c r="AC503" s="663" t="s">
        <v>5435</v>
      </c>
      <c r="AD503" s="663" t="s">
        <v>4941</v>
      </c>
      <c r="AE503" s="663" t="s">
        <v>4931</v>
      </c>
      <c r="AF503" s="663" t="s">
        <v>4962</v>
      </c>
    </row>
    <row r="504" spans="1:32" s="608" customFormat="1" x14ac:dyDescent="0.25">
      <c r="A504" s="624"/>
      <c r="B504" s="617">
        <v>39035120500</v>
      </c>
      <c r="C504" s="617" t="s">
        <v>2172</v>
      </c>
      <c r="D504" s="617" t="s">
        <v>42</v>
      </c>
      <c r="E504" s="617" t="s">
        <v>4853</v>
      </c>
      <c r="F504" s="617" t="s">
        <v>24</v>
      </c>
      <c r="G504" s="624"/>
      <c r="H504" s="669">
        <v>44443</v>
      </c>
      <c r="I504" s="617" t="s">
        <v>4873</v>
      </c>
      <c r="J504" s="617" t="s">
        <v>26</v>
      </c>
      <c r="K504" s="624"/>
      <c r="O504" s="616"/>
      <c r="P504" s="616"/>
      <c r="Q504" s="616"/>
      <c r="AA504" s="624"/>
      <c r="AB504" s="663">
        <v>39035119402</v>
      </c>
      <c r="AC504" s="663" t="s">
        <v>5436</v>
      </c>
      <c r="AD504" s="663" t="s">
        <v>4927</v>
      </c>
      <c r="AE504" s="663" t="s">
        <v>4934</v>
      </c>
      <c r="AF504" s="663" t="s">
        <v>4962</v>
      </c>
    </row>
    <row r="505" spans="1:32" s="608" customFormat="1" x14ac:dyDescent="0.25">
      <c r="A505" s="624"/>
      <c r="B505" s="617">
        <v>39035120600</v>
      </c>
      <c r="C505" s="617" t="s">
        <v>2173</v>
      </c>
      <c r="D505" s="617" t="s">
        <v>42</v>
      </c>
      <c r="E505" s="617" t="s">
        <v>4853</v>
      </c>
      <c r="F505" s="617" t="s">
        <v>26</v>
      </c>
      <c r="G505" s="624"/>
      <c r="H505" s="669">
        <v>43138</v>
      </c>
      <c r="I505" s="617" t="s">
        <v>1677</v>
      </c>
      <c r="J505" s="617" t="s">
        <v>26</v>
      </c>
      <c r="K505" s="624"/>
      <c r="O505" s="616"/>
      <c r="P505" s="616"/>
      <c r="Q505" s="616"/>
      <c r="AA505" s="624"/>
      <c r="AB505" s="663">
        <v>39035119501</v>
      </c>
      <c r="AC505" s="663" t="s">
        <v>5437</v>
      </c>
      <c r="AD505" s="663" t="s">
        <v>4938</v>
      </c>
      <c r="AE505" s="663" t="s">
        <v>4934</v>
      </c>
      <c r="AF505" s="663" t="s">
        <v>4962</v>
      </c>
    </row>
    <row r="506" spans="1:32" s="608" customFormat="1" x14ac:dyDescent="0.25">
      <c r="A506" s="624"/>
      <c r="B506" s="617">
        <v>39035120701</v>
      </c>
      <c r="C506" s="617" t="s">
        <v>2174</v>
      </c>
      <c r="D506" s="617" t="s">
        <v>42</v>
      </c>
      <c r="E506" s="617" t="s">
        <v>4853</v>
      </c>
      <c r="F506" s="617" t="s">
        <v>24</v>
      </c>
      <c r="G506" s="624"/>
      <c r="H506" s="669">
        <v>41016</v>
      </c>
      <c r="I506" s="617" t="s">
        <v>4867</v>
      </c>
      <c r="J506" s="617" t="s">
        <v>26</v>
      </c>
      <c r="K506" s="624"/>
      <c r="O506" s="616"/>
      <c r="P506" s="616"/>
      <c r="Q506" s="616"/>
      <c r="AA506" s="624"/>
      <c r="AB506" s="663">
        <v>39035119502</v>
      </c>
      <c r="AC506" s="663" t="s">
        <v>5438</v>
      </c>
      <c r="AD506" s="663" t="s">
        <v>4948</v>
      </c>
      <c r="AE506" s="663" t="s">
        <v>4928</v>
      </c>
      <c r="AF506" s="663" t="s">
        <v>4962</v>
      </c>
    </row>
    <row r="507" spans="1:32" s="608" customFormat="1" x14ac:dyDescent="0.25">
      <c r="A507" s="624"/>
      <c r="B507" s="617">
        <v>39035120702</v>
      </c>
      <c r="C507" s="617" t="s">
        <v>2175</v>
      </c>
      <c r="D507" s="617" t="s">
        <v>42</v>
      </c>
      <c r="E507" s="617" t="s">
        <v>4853</v>
      </c>
      <c r="F507" s="617" t="s">
        <v>24</v>
      </c>
      <c r="G507" s="624"/>
      <c r="H507" s="669">
        <v>41007</v>
      </c>
      <c r="I507" s="617" t="s">
        <v>4867</v>
      </c>
      <c r="J507" s="617" t="s">
        <v>26</v>
      </c>
      <c r="K507" s="624"/>
      <c r="O507" s="616"/>
      <c r="P507" s="616"/>
      <c r="Q507" s="616"/>
      <c r="AA507" s="624"/>
      <c r="AB507" s="663">
        <v>39035119600</v>
      </c>
      <c r="AC507" s="663" t="s">
        <v>5439</v>
      </c>
      <c r="AD507" s="663" t="s">
        <v>4950</v>
      </c>
      <c r="AE507" s="663" t="s">
        <v>4939</v>
      </c>
      <c r="AF507" s="663" t="s">
        <v>4962</v>
      </c>
    </row>
    <row r="508" spans="1:32" s="608" customFormat="1" x14ac:dyDescent="0.25">
      <c r="A508" s="624"/>
      <c r="B508" s="617">
        <v>39035120801</v>
      </c>
      <c r="C508" s="617" t="s">
        <v>2176</v>
      </c>
      <c r="D508" s="617" t="s">
        <v>42</v>
      </c>
      <c r="E508" s="617" t="s">
        <v>4853</v>
      </c>
      <c r="F508" s="617" t="s">
        <v>24</v>
      </c>
      <c r="G508" s="624"/>
      <c r="H508" s="669">
        <v>47018</v>
      </c>
      <c r="I508" s="617" t="s">
        <v>4867</v>
      </c>
      <c r="J508" s="617" t="s">
        <v>26</v>
      </c>
      <c r="K508" s="624"/>
      <c r="O508" s="616"/>
      <c r="P508" s="616"/>
      <c r="Q508" s="616"/>
      <c r="AA508" s="624"/>
      <c r="AB508" s="663">
        <v>39035119701</v>
      </c>
      <c r="AC508" s="663" t="s">
        <v>5440</v>
      </c>
      <c r="AD508" s="663" t="s">
        <v>4948</v>
      </c>
      <c r="AE508" s="663" t="s">
        <v>4931</v>
      </c>
      <c r="AF508" s="663" t="s">
        <v>4962</v>
      </c>
    </row>
    <row r="509" spans="1:32" s="608" customFormat="1" x14ac:dyDescent="0.25">
      <c r="A509" s="624"/>
      <c r="B509" s="617">
        <v>39035120802</v>
      </c>
      <c r="C509" s="617" t="s">
        <v>2177</v>
      </c>
      <c r="D509" s="617" t="s">
        <v>42</v>
      </c>
      <c r="E509" s="617" t="s">
        <v>4853</v>
      </c>
      <c r="F509" s="617" t="s">
        <v>24</v>
      </c>
      <c r="G509" s="624"/>
      <c r="H509" s="669">
        <v>45153</v>
      </c>
      <c r="I509" s="617" t="s">
        <v>4867</v>
      </c>
      <c r="J509" s="617" t="s">
        <v>26</v>
      </c>
      <c r="K509" s="624"/>
      <c r="O509" s="616"/>
      <c r="P509" s="616"/>
      <c r="Q509" s="616"/>
      <c r="AA509" s="624"/>
      <c r="AB509" s="663">
        <v>39035119702</v>
      </c>
      <c r="AC509" s="663" t="s">
        <v>5441</v>
      </c>
      <c r="AD509" s="663" t="s">
        <v>4927</v>
      </c>
      <c r="AE509" s="663" t="s">
        <v>4939</v>
      </c>
      <c r="AF509" s="663" t="s">
        <v>4962</v>
      </c>
    </row>
    <row r="510" spans="1:32" s="608" customFormat="1" x14ac:dyDescent="0.25">
      <c r="A510" s="624"/>
      <c r="B510" s="617">
        <v>39035121100</v>
      </c>
      <c r="C510" s="617" t="s">
        <v>2178</v>
      </c>
      <c r="D510" s="617" t="s">
        <v>42</v>
      </c>
      <c r="E510" s="617" t="s">
        <v>4853</v>
      </c>
      <c r="F510" s="617" t="s">
        <v>24</v>
      </c>
      <c r="G510" s="624"/>
      <c r="H510" s="669">
        <v>45158</v>
      </c>
      <c r="I510" s="617" t="s">
        <v>4867</v>
      </c>
      <c r="J510" s="617" t="s">
        <v>26</v>
      </c>
      <c r="K510" s="624"/>
      <c r="O510" s="616"/>
      <c r="P510" s="616"/>
      <c r="Q510" s="616"/>
      <c r="AA510" s="624"/>
      <c r="AB510" s="663">
        <v>39035119800</v>
      </c>
      <c r="AC510" s="663" t="s">
        <v>5442</v>
      </c>
      <c r="AD510" s="663" t="s">
        <v>4950</v>
      </c>
      <c r="AE510" s="663" t="s">
        <v>5332</v>
      </c>
      <c r="AF510" s="663" t="s">
        <v>4962</v>
      </c>
    </row>
    <row r="511" spans="1:32" s="608" customFormat="1" x14ac:dyDescent="0.25">
      <c r="A511" s="624"/>
      <c r="B511" s="617">
        <v>39035121200</v>
      </c>
      <c r="C511" s="617" t="s">
        <v>2179</v>
      </c>
      <c r="D511" s="617" t="s">
        <v>42</v>
      </c>
      <c r="E511" s="617" t="s">
        <v>4853</v>
      </c>
      <c r="F511" s="617" t="s">
        <v>24</v>
      </c>
      <c r="G511" s="624"/>
      <c r="H511" s="669">
        <v>45003</v>
      </c>
      <c r="I511" s="617" t="s">
        <v>4867</v>
      </c>
      <c r="J511" s="617" t="s">
        <v>26</v>
      </c>
      <c r="K511" s="624"/>
      <c r="O511" s="616"/>
      <c r="P511" s="616"/>
      <c r="Q511" s="616"/>
      <c r="AA511" s="624"/>
      <c r="AB511" s="663">
        <v>39035119900</v>
      </c>
      <c r="AC511" s="663" t="s">
        <v>5443</v>
      </c>
      <c r="AD511" s="663" t="s">
        <v>4927</v>
      </c>
      <c r="AE511" s="663" t="s">
        <v>4928</v>
      </c>
      <c r="AF511" s="663" t="s">
        <v>4962</v>
      </c>
    </row>
    <row r="512" spans="1:32" s="608" customFormat="1" x14ac:dyDescent="0.25">
      <c r="A512" s="624"/>
      <c r="B512" s="617">
        <v>39035121300</v>
      </c>
      <c r="C512" s="617" t="s">
        <v>2180</v>
      </c>
      <c r="D512" s="617" t="s">
        <v>42</v>
      </c>
      <c r="E512" s="617" t="s">
        <v>4853</v>
      </c>
      <c r="F512" s="617" t="s">
        <v>24</v>
      </c>
      <c r="G512" s="624"/>
      <c r="H512" s="669">
        <v>45327</v>
      </c>
      <c r="I512" s="617" t="s">
        <v>4867</v>
      </c>
      <c r="J512" s="617" t="s">
        <v>26</v>
      </c>
      <c r="K512" s="624"/>
      <c r="O512" s="616"/>
      <c r="P512" s="616"/>
      <c r="Q512" s="616"/>
      <c r="AA512" s="624"/>
      <c r="AB512" s="663">
        <v>39035120200</v>
      </c>
      <c r="AC512" s="663" t="s">
        <v>5444</v>
      </c>
      <c r="AD512" s="663" t="s">
        <v>4927</v>
      </c>
      <c r="AE512" s="663" t="s">
        <v>4939</v>
      </c>
      <c r="AF512" s="663" t="s">
        <v>4962</v>
      </c>
    </row>
    <row r="513" spans="1:32" s="608" customFormat="1" x14ac:dyDescent="0.25">
      <c r="A513" s="624"/>
      <c r="B513" s="617">
        <v>39035121401</v>
      </c>
      <c r="C513" s="617" t="s">
        <v>2181</v>
      </c>
      <c r="D513" s="617" t="s">
        <v>42</v>
      </c>
      <c r="E513" s="617" t="s">
        <v>4853</v>
      </c>
      <c r="F513" s="617" t="s">
        <v>24</v>
      </c>
      <c r="G513" s="624"/>
      <c r="H513" s="669">
        <v>43138</v>
      </c>
      <c r="I513" s="617" t="s">
        <v>1675</v>
      </c>
      <c r="J513" s="617" t="s">
        <v>26</v>
      </c>
      <c r="K513" s="624"/>
      <c r="O513" s="616"/>
      <c r="P513" s="616"/>
      <c r="Q513" s="616"/>
      <c r="AA513" s="624"/>
      <c r="AB513" s="663">
        <v>39035120400</v>
      </c>
      <c r="AC513" s="663" t="s">
        <v>5445</v>
      </c>
      <c r="AD513" s="663" t="s">
        <v>4927</v>
      </c>
      <c r="AE513" s="663" t="s">
        <v>4928</v>
      </c>
      <c r="AF513" s="663" t="s">
        <v>4962</v>
      </c>
    </row>
    <row r="514" spans="1:32" s="608" customFormat="1" x14ac:dyDescent="0.25">
      <c r="A514" s="624"/>
      <c r="B514" s="617">
        <v>39035121403</v>
      </c>
      <c r="C514" s="617" t="s">
        <v>2182</v>
      </c>
      <c r="D514" s="617" t="s">
        <v>42</v>
      </c>
      <c r="E514" s="617" t="s">
        <v>4853</v>
      </c>
      <c r="F514" s="617" t="s">
        <v>24</v>
      </c>
      <c r="G514" s="624"/>
      <c r="H514" s="669">
        <v>44111</v>
      </c>
      <c r="I514" s="617" t="s">
        <v>4869</v>
      </c>
      <c r="J514" s="617" t="s">
        <v>26</v>
      </c>
      <c r="K514" s="624"/>
      <c r="O514" s="616"/>
      <c r="P514" s="616"/>
      <c r="Q514" s="616"/>
      <c r="AA514" s="624"/>
      <c r="AB514" s="663">
        <v>39035120500</v>
      </c>
      <c r="AC514" s="663" t="s">
        <v>5446</v>
      </c>
      <c r="AD514" s="663" t="s">
        <v>4927</v>
      </c>
      <c r="AE514" s="663" t="s">
        <v>4928</v>
      </c>
      <c r="AF514" s="663" t="s">
        <v>4962</v>
      </c>
    </row>
    <row r="515" spans="1:32" s="608" customFormat="1" x14ac:dyDescent="0.25">
      <c r="A515" s="624"/>
      <c r="B515" s="617">
        <v>39035121500</v>
      </c>
      <c r="C515" s="617" t="s">
        <v>2183</v>
      </c>
      <c r="D515" s="617" t="s">
        <v>42</v>
      </c>
      <c r="E515" s="617" t="s">
        <v>4853</v>
      </c>
      <c r="F515" s="617" t="s">
        <v>24</v>
      </c>
      <c r="G515" s="624"/>
      <c r="H515" s="669">
        <v>44889</v>
      </c>
      <c r="I515" s="617" t="s">
        <v>4869</v>
      </c>
      <c r="J515" s="617" t="s">
        <v>26</v>
      </c>
      <c r="K515" s="624"/>
      <c r="O515" s="616"/>
      <c r="P515" s="616"/>
      <c r="Q515" s="616"/>
      <c r="AA515" s="624"/>
      <c r="AB515" s="663">
        <v>39035120600</v>
      </c>
      <c r="AC515" s="663" t="s">
        <v>5447</v>
      </c>
      <c r="AD515" s="663" t="s">
        <v>4927</v>
      </c>
      <c r="AE515" s="663" t="s">
        <v>5006</v>
      </c>
      <c r="AF515" s="663" t="s">
        <v>4962</v>
      </c>
    </row>
    <row r="516" spans="1:32" s="608" customFormat="1" x14ac:dyDescent="0.25">
      <c r="A516" s="624"/>
      <c r="B516" s="617">
        <v>39035121700</v>
      </c>
      <c r="C516" s="617" t="s">
        <v>2184</v>
      </c>
      <c r="D516" s="617" t="s">
        <v>42</v>
      </c>
      <c r="E516" s="617" t="s">
        <v>4853</v>
      </c>
      <c r="F516" s="617" t="s">
        <v>26</v>
      </c>
      <c r="G516" s="624"/>
      <c r="H516" s="669">
        <v>44880</v>
      </c>
      <c r="I516" s="617" t="s">
        <v>4869</v>
      </c>
      <c r="J516" s="617" t="s">
        <v>26</v>
      </c>
      <c r="K516" s="624"/>
      <c r="O516" s="616"/>
      <c r="P516" s="616"/>
      <c r="Q516" s="616"/>
      <c r="AA516" s="624"/>
      <c r="AB516" s="663">
        <v>39035120701</v>
      </c>
      <c r="AC516" s="663" t="s">
        <v>5448</v>
      </c>
      <c r="AD516" s="663" t="s">
        <v>4927</v>
      </c>
      <c r="AE516" s="663" t="s">
        <v>4931</v>
      </c>
      <c r="AF516" s="663" t="s">
        <v>4962</v>
      </c>
    </row>
    <row r="517" spans="1:32" s="608" customFormat="1" x14ac:dyDescent="0.25">
      <c r="A517" s="624"/>
      <c r="B517" s="617">
        <v>39035121800</v>
      </c>
      <c r="C517" s="617" t="s">
        <v>2185</v>
      </c>
      <c r="D517" s="617" t="s">
        <v>42</v>
      </c>
      <c r="E517" s="617" t="s">
        <v>4853</v>
      </c>
      <c r="F517" s="617" t="s">
        <v>26</v>
      </c>
      <c r="G517" s="624"/>
      <c r="H517" s="669">
        <v>43112</v>
      </c>
      <c r="I517" s="617" t="s">
        <v>4871</v>
      </c>
      <c r="J517" s="617" t="s">
        <v>26</v>
      </c>
      <c r="K517" s="624"/>
      <c r="O517" s="616"/>
      <c r="P517" s="616"/>
      <c r="Q517" s="616"/>
      <c r="AA517" s="624"/>
      <c r="AB517" s="663">
        <v>39035120702</v>
      </c>
      <c r="AC517" s="663" t="s">
        <v>5449</v>
      </c>
      <c r="AD517" s="663" t="s">
        <v>4950</v>
      </c>
      <c r="AE517" s="663" t="s">
        <v>4942</v>
      </c>
      <c r="AF517" s="663" t="s">
        <v>4962</v>
      </c>
    </row>
    <row r="518" spans="1:32" s="608" customFormat="1" x14ac:dyDescent="0.25">
      <c r="A518" s="624"/>
      <c r="B518" s="617">
        <v>39035121900</v>
      </c>
      <c r="C518" s="617" t="s">
        <v>2186</v>
      </c>
      <c r="D518" s="617" t="s">
        <v>42</v>
      </c>
      <c r="E518" s="617" t="s">
        <v>4853</v>
      </c>
      <c r="F518" s="617" t="s">
        <v>24</v>
      </c>
      <c r="G518" s="624"/>
      <c r="H518" s="669">
        <v>43356</v>
      </c>
      <c r="I518" s="617" t="s">
        <v>4871</v>
      </c>
      <c r="J518" s="617" t="s">
        <v>26</v>
      </c>
      <c r="K518" s="624"/>
      <c r="O518" s="616"/>
      <c r="P518" s="616"/>
      <c r="Q518" s="616"/>
      <c r="AA518" s="624"/>
      <c r="AB518" s="663">
        <v>39035120801</v>
      </c>
      <c r="AC518" s="663" t="s">
        <v>5450</v>
      </c>
      <c r="AD518" s="663" t="s">
        <v>4950</v>
      </c>
      <c r="AE518" s="663" t="s">
        <v>4934</v>
      </c>
      <c r="AF518" s="663" t="s">
        <v>4962</v>
      </c>
    </row>
    <row r="519" spans="1:32" s="608" customFormat="1" x14ac:dyDescent="0.25">
      <c r="A519" s="624"/>
      <c r="B519" s="617">
        <v>39035122100</v>
      </c>
      <c r="C519" s="617" t="s">
        <v>2187</v>
      </c>
      <c r="D519" s="617" t="s">
        <v>42</v>
      </c>
      <c r="E519" s="617" t="s">
        <v>4853</v>
      </c>
      <c r="F519" s="617" t="s">
        <v>26</v>
      </c>
      <c r="G519" s="624"/>
      <c r="H519" s="669">
        <v>43449</v>
      </c>
      <c r="I519" s="617" t="s">
        <v>1676</v>
      </c>
      <c r="J519" s="617" t="s">
        <v>26</v>
      </c>
      <c r="K519" s="624"/>
      <c r="O519" s="616"/>
      <c r="P519" s="616"/>
      <c r="Q519" s="616"/>
      <c r="AA519" s="624"/>
      <c r="AB519" s="663">
        <v>39035120802</v>
      </c>
      <c r="AC519" s="663" t="s">
        <v>5451</v>
      </c>
      <c r="AD519" s="663" t="s">
        <v>4950</v>
      </c>
      <c r="AE519" s="663" t="s">
        <v>4934</v>
      </c>
      <c r="AF519" s="663" t="s">
        <v>4962</v>
      </c>
    </row>
    <row r="520" spans="1:32" s="608" customFormat="1" x14ac:dyDescent="0.25">
      <c r="A520" s="624"/>
      <c r="B520" s="617">
        <v>39035122200</v>
      </c>
      <c r="C520" s="617" t="s">
        <v>2188</v>
      </c>
      <c r="D520" s="617" t="s">
        <v>42</v>
      </c>
      <c r="E520" s="617" t="s">
        <v>4853</v>
      </c>
      <c r="F520" s="617" t="s">
        <v>24</v>
      </c>
      <c r="G520" s="624"/>
      <c r="H520" s="669">
        <v>43447</v>
      </c>
      <c r="I520" s="617" t="s">
        <v>1676</v>
      </c>
      <c r="J520" s="617" t="s">
        <v>26</v>
      </c>
      <c r="K520" s="624"/>
      <c r="O520" s="616"/>
      <c r="P520" s="616"/>
      <c r="Q520" s="616"/>
      <c r="AA520" s="624"/>
      <c r="AB520" s="663">
        <v>39035121100</v>
      </c>
      <c r="AC520" s="663" t="s">
        <v>5452</v>
      </c>
      <c r="AD520" s="663" t="s">
        <v>4927</v>
      </c>
      <c r="AE520" s="663" t="s">
        <v>4934</v>
      </c>
      <c r="AF520" s="663" t="s">
        <v>4962</v>
      </c>
    </row>
    <row r="521" spans="1:32" s="608" customFormat="1" x14ac:dyDescent="0.25">
      <c r="A521" s="624"/>
      <c r="B521" s="617">
        <v>39035122300</v>
      </c>
      <c r="C521" s="617" t="s">
        <v>2189</v>
      </c>
      <c r="D521" s="617" t="s">
        <v>42</v>
      </c>
      <c r="E521" s="617" t="s">
        <v>4853</v>
      </c>
      <c r="F521" s="617" t="s">
        <v>24</v>
      </c>
      <c r="G521" s="624"/>
      <c r="H521" s="669">
        <v>43469</v>
      </c>
      <c r="I521" s="617" t="s">
        <v>1676</v>
      </c>
      <c r="J521" s="617" t="s">
        <v>26</v>
      </c>
      <c r="K521" s="624"/>
      <c r="O521" s="616"/>
      <c r="P521" s="616"/>
      <c r="Q521" s="616"/>
      <c r="AA521" s="624"/>
      <c r="AB521" s="663">
        <v>39035121200</v>
      </c>
      <c r="AC521" s="663" t="s">
        <v>5453</v>
      </c>
      <c r="AD521" s="663" t="s">
        <v>4950</v>
      </c>
      <c r="AE521" s="663" t="s">
        <v>4939</v>
      </c>
      <c r="AF521" s="663" t="s">
        <v>4962</v>
      </c>
    </row>
    <row r="522" spans="1:32" s="608" customFormat="1" x14ac:dyDescent="0.25">
      <c r="A522" s="624"/>
      <c r="B522" s="617">
        <v>39035123100</v>
      </c>
      <c r="C522" s="617" t="s">
        <v>2190</v>
      </c>
      <c r="D522" s="617" t="s">
        <v>42</v>
      </c>
      <c r="E522" s="617" t="s">
        <v>4853</v>
      </c>
      <c r="F522" s="617" t="s">
        <v>26</v>
      </c>
      <c r="G522" s="624"/>
      <c r="H522" s="669">
        <v>43465</v>
      </c>
      <c r="I522" s="617" t="s">
        <v>4872</v>
      </c>
      <c r="J522" s="617" t="s">
        <v>26</v>
      </c>
      <c r="K522" s="624"/>
      <c r="O522" s="616"/>
      <c r="P522" s="616"/>
      <c r="Q522" s="616"/>
      <c r="AA522" s="624"/>
      <c r="AB522" s="663">
        <v>39035121300</v>
      </c>
      <c r="AC522" s="663" t="s">
        <v>5454</v>
      </c>
      <c r="AD522" s="663" t="s">
        <v>4927</v>
      </c>
      <c r="AE522" s="663" t="s">
        <v>4934</v>
      </c>
      <c r="AF522" s="663" t="s">
        <v>4962</v>
      </c>
    </row>
    <row r="523" spans="1:32" s="608" customFormat="1" x14ac:dyDescent="0.25">
      <c r="A523" s="624"/>
      <c r="B523" s="617">
        <v>39035123200</v>
      </c>
      <c r="C523" s="617" t="s">
        <v>2191</v>
      </c>
      <c r="D523" s="617" t="s">
        <v>42</v>
      </c>
      <c r="E523" s="617" t="s">
        <v>4853</v>
      </c>
      <c r="F523" s="617" t="s">
        <v>26</v>
      </c>
      <c r="G523" s="624"/>
      <c r="H523" s="669">
        <v>44310</v>
      </c>
      <c r="I523" s="617" t="s">
        <v>4868</v>
      </c>
      <c r="J523" s="617" t="s">
        <v>26</v>
      </c>
      <c r="K523" s="624"/>
      <c r="O523" s="616"/>
      <c r="P523" s="616"/>
      <c r="Q523" s="616"/>
      <c r="AA523" s="624"/>
      <c r="AB523" s="663">
        <v>39035121401</v>
      </c>
      <c r="AC523" s="663" t="s">
        <v>5455</v>
      </c>
      <c r="AD523" s="663" t="s">
        <v>4927</v>
      </c>
      <c r="AE523" s="663" t="s">
        <v>4934</v>
      </c>
      <c r="AF523" s="663" t="s">
        <v>4962</v>
      </c>
    </row>
    <row r="524" spans="1:32" s="608" customFormat="1" x14ac:dyDescent="0.25">
      <c r="A524" s="624"/>
      <c r="B524" s="617">
        <v>39035123400</v>
      </c>
      <c r="C524" s="617" t="s">
        <v>2192</v>
      </c>
      <c r="D524" s="617" t="s">
        <v>42</v>
      </c>
      <c r="E524" s="617" t="s">
        <v>4853</v>
      </c>
      <c r="F524" s="617" t="s">
        <v>26</v>
      </c>
      <c r="G524" s="624"/>
      <c r="H524" s="669">
        <v>44314</v>
      </c>
      <c r="I524" s="617" t="s">
        <v>4868</v>
      </c>
      <c r="J524" s="617" t="s">
        <v>26</v>
      </c>
      <c r="K524" s="624"/>
      <c r="O524" s="616"/>
      <c r="P524" s="616"/>
      <c r="Q524" s="616"/>
      <c r="AA524" s="624"/>
      <c r="AB524" s="663">
        <v>39035121403</v>
      </c>
      <c r="AC524" s="663" t="s">
        <v>5456</v>
      </c>
      <c r="AD524" s="663" t="s">
        <v>4948</v>
      </c>
      <c r="AE524" s="663" t="s">
        <v>4939</v>
      </c>
      <c r="AF524" s="663" t="s">
        <v>4962</v>
      </c>
    </row>
    <row r="525" spans="1:32" s="608" customFormat="1" x14ac:dyDescent="0.25">
      <c r="A525" s="624"/>
      <c r="B525" s="617">
        <v>39035123501</v>
      </c>
      <c r="C525" s="617" t="s">
        <v>2193</v>
      </c>
      <c r="D525" s="617" t="s">
        <v>42</v>
      </c>
      <c r="E525" s="617" t="s">
        <v>4853</v>
      </c>
      <c r="F525" s="617" t="s">
        <v>24</v>
      </c>
      <c r="G525" s="624"/>
      <c r="H525" s="669">
        <v>44607</v>
      </c>
      <c r="I525" s="617" t="s">
        <v>4874</v>
      </c>
      <c r="J525" s="617" t="s">
        <v>26</v>
      </c>
      <c r="K525" s="624"/>
      <c r="O525" s="616"/>
      <c r="P525" s="616"/>
      <c r="Q525" s="616"/>
      <c r="AA525" s="624"/>
      <c r="AB525" s="663">
        <v>39035121500</v>
      </c>
      <c r="AC525" s="663" t="s">
        <v>5457</v>
      </c>
      <c r="AD525" s="663" t="s">
        <v>4950</v>
      </c>
      <c r="AE525" s="663" t="s">
        <v>4928</v>
      </c>
      <c r="AF525" s="663" t="s">
        <v>4962</v>
      </c>
    </row>
    <row r="526" spans="1:32" s="608" customFormat="1" x14ac:dyDescent="0.25">
      <c r="A526" s="624"/>
      <c r="B526" s="617">
        <v>39035123502</v>
      </c>
      <c r="C526" s="617" t="s">
        <v>2194</v>
      </c>
      <c r="D526" s="617" t="s">
        <v>42</v>
      </c>
      <c r="E526" s="617" t="s">
        <v>4853</v>
      </c>
      <c r="F526" s="617" t="s">
        <v>24</v>
      </c>
      <c r="G526" s="624"/>
      <c r="H526" s="669">
        <v>45426</v>
      </c>
      <c r="I526" s="617" t="s">
        <v>4870</v>
      </c>
      <c r="J526" s="617" t="s">
        <v>26</v>
      </c>
      <c r="K526" s="624"/>
      <c r="O526" s="616"/>
      <c r="P526" s="616"/>
      <c r="Q526" s="616"/>
      <c r="AA526" s="624"/>
      <c r="AB526" s="663">
        <v>39035121700</v>
      </c>
      <c r="AC526" s="663" t="s">
        <v>5458</v>
      </c>
      <c r="AD526" s="663" t="s">
        <v>4948</v>
      </c>
      <c r="AE526" s="663" t="s">
        <v>4934</v>
      </c>
      <c r="AF526" s="663" t="s">
        <v>4962</v>
      </c>
    </row>
    <row r="527" spans="1:32" s="608" customFormat="1" x14ac:dyDescent="0.25">
      <c r="A527" s="624"/>
      <c r="B527" s="617">
        <v>39035123601</v>
      </c>
      <c r="C527" s="617" t="s">
        <v>2195</v>
      </c>
      <c r="D527" s="617" t="s">
        <v>42</v>
      </c>
      <c r="E527" s="617" t="s">
        <v>4853</v>
      </c>
      <c r="F527" s="617" t="s">
        <v>26</v>
      </c>
      <c r="G527" s="624"/>
      <c r="H527" s="669">
        <v>45309</v>
      </c>
      <c r="I527" s="617" t="s">
        <v>4870</v>
      </c>
      <c r="J527" s="617" t="s">
        <v>26</v>
      </c>
      <c r="K527" s="624"/>
      <c r="O527" s="616"/>
      <c r="P527" s="616"/>
      <c r="Q527" s="616"/>
      <c r="AA527" s="624"/>
      <c r="AB527" s="663">
        <v>39035121800</v>
      </c>
      <c r="AC527" s="663" t="s">
        <v>5459</v>
      </c>
      <c r="AD527" s="663" t="s">
        <v>4948</v>
      </c>
      <c r="AE527" s="663" t="s">
        <v>4939</v>
      </c>
      <c r="AF527" s="663" t="s">
        <v>4962</v>
      </c>
    </row>
    <row r="528" spans="1:32" s="608" customFormat="1" x14ac:dyDescent="0.25">
      <c r="A528" s="624"/>
      <c r="B528" s="617">
        <v>39035123602</v>
      </c>
      <c r="C528" s="617" t="s">
        <v>2196</v>
      </c>
      <c r="D528" s="617" t="s">
        <v>42</v>
      </c>
      <c r="E528" s="617" t="s">
        <v>4853</v>
      </c>
      <c r="F528" s="617" t="s">
        <v>26</v>
      </c>
      <c r="G528" s="624"/>
      <c r="H528" s="669">
        <v>45150</v>
      </c>
      <c r="I528" s="617" t="s">
        <v>4867</v>
      </c>
      <c r="J528" s="617" t="s">
        <v>26</v>
      </c>
      <c r="K528" s="624"/>
      <c r="O528" s="616"/>
      <c r="P528" s="616"/>
      <c r="Q528" s="616"/>
      <c r="AA528" s="624"/>
      <c r="AB528" s="663">
        <v>39035121900</v>
      </c>
      <c r="AC528" s="663" t="s">
        <v>5460</v>
      </c>
      <c r="AD528" s="663" t="s">
        <v>4950</v>
      </c>
      <c r="AE528" s="663" t="s">
        <v>4928</v>
      </c>
      <c r="AF528" s="663" t="s">
        <v>4962</v>
      </c>
    </row>
    <row r="529" spans="1:32" s="608" customFormat="1" x14ac:dyDescent="0.25">
      <c r="A529" s="624"/>
      <c r="B529" s="617">
        <v>39035123603</v>
      </c>
      <c r="C529" s="617" t="s">
        <v>2197</v>
      </c>
      <c r="D529" s="617" t="s">
        <v>42</v>
      </c>
      <c r="E529" s="617" t="s">
        <v>4853</v>
      </c>
      <c r="F529" s="617" t="s">
        <v>26</v>
      </c>
      <c r="G529" s="624"/>
      <c r="H529" s="669">
        <v>45239</v>
      </c>
      <c r="I529" s="617" t="s">
        <v>4867</v>
      </c>
      <c r="J529" s="617" t="s">
        <v>26</v>
      </c>
      <c r="K529" s="624"/>
      <c r="O529" s="616"/>
      <c r="P529" s="616"/>
      <c r="Q529" s="616"/>
      <c r="AA529" s="624"/>
      <c r="AB529" s="663">
        <v>39035122100</v>
      </c>
      <c r="AC529" s="663" t="s">
        <v>5461</v>
      </c>
      <c r="AD529" s="663" t="s">
        <v>4927</v>
      </c>
      <c r="AE529" s="663" t="s">
        <v>4939</v>
      </c>
      <c r="AF529" s="663" t="s">
        <v>4946</v>
      </c>
    </row>
    <row r="530" spans="1:32" s="608" customFormat="1" x14ac:dyDescent="0.25">
      <c r="A530" s="624"/>
      <c r="B530" s="617">
        <v>39035123700</v>
      </c>
      <c r="C530" s="617" t="s">
        <v>2198</v>
      </c>
      <c r="D530" s="617" t="s">
        <v>42</v>
      </c>
      <c r="E530" s="617" t="s">
        <v>4853</v>
      </c>
      <c r="F530" s="617" t="s">
        <v>26</v>
      </c>
      <c r="G530" s="624"/>
      <c r="H530" s="669">
        <v>45002</v>
      </c>
      <c r="I530" s="617" t="s">
        <v>4867</v>
      </c>
      <c r="J530" s="617" t="s">
        <v>26</v>
      </c>
      <c r="K530" s="624"/>
      <c r="O530" s="616"/>
      <c r="P530" s="616"/>
      <c r="Q530" s="616"/>
      <c r="AA530" s="624"/>
      <c r="AB530" s="663">
        <v>39035122200</v>
      </c>
      <c r="AC530" s="663" t="s">
        <v>5462</v>
      </c>
      <c r="AD530" s="663" t="s">
        <v>4927</v>
      </c>
      <c r="AE530" s="663" t="s">
        <v>4928</v>
      </c>
      <c r="AF530" s="663" t="s">
        <v>4962</v>
      </c>
    </row>
    <row r="531" spans="1:32" s="608" customFormat="1" x14ac:dyDescent="0.25">
      <c r="A531" s="624"/>
      <c r="B531" s="617">
        <v>39035123800</v>
      </c>
      <c r="C531" s="617" t="s">
        <v>2199</v>
      </c>
      <c r="D531" s="617" t="s">
        <v>42</v>
      </c>
      <c r="E531" s="617" t="s">
        <v>4853</v>
      </c>
      <c r="F531" s="617" t="s">
        <v>24</v>
      </c>
      <c r="G531" s="624"/>
      <c r="H531" s="669">
        <v>41092</v>
      </c>
      <c r="I531" s="617" t="s">
        <v>4867</v>
      </c>
      <c r="J531" s="617" t="s">
        <v>26</v>
      </c>
      <c r="K531" s="624"/>
      <c r="O531" s="616"/>
      <c r="P531" s="616"/>
      <c r="Q531" s="616"/>
      <c r="AA531" s="624"/>
      <c r="AB531" s="663">
        <v>39035122300</v>
      </c>
      <c r="AC531" s="663" t="s">
        <v>5463</v>
      </c>
      <c r="AD531" s="663" t="s">
        <v>4927</v>
      </c>
      <c r="AE531" s="663" t="s">
        <v>4934</v>
      </c>
      <c r="AF531" s="663" t="s">
        <v>4946</v>
      </c>
    </row>
    <row r="532" spans="1:32" s="608" customFormat="1" x14ac:dyDescent="0.25">
      <c r="A532" s="624"/>
      <c r="B532" s="617">
        <v>39035123900</v>
      </c>
      <c r="C532" s="617" t="s">
        <v>2200</v>
      </c>
      <c r="D532" s="617" t="s">
        <v>42</v>
      </c>
      <c r="E532" s="617" t="s">
        <v>4853</v>
      </c>
      <c r="F532" s="617" t="s">
        <v>26</v>
      </c>
      <c r="G532" s="624"/>
      <c r="H532" s="669">
        <v>45033</v>
      </c>
      <c r="I532" s="617" t="s">
        <v>4867</v>
      </c>
      <c r="J532" s="617" t="s">
        <v>26</v>
      </c>
      <c r="K532" s="624"/>
      <c r="O532" s="616"/>
      <c r="P532" s="616"/>
      <c r="Q532" s="616"/>
      <c r="AA532" s="624"/>
      <c r="AB532" s="663">
        <v>39035123100</v>
      </c>
      <c r="AC532" s="663" t="s">
        <v>5464</v>
      </c>
      <c r="AD532" s="663" t="s">
        <v>4938</v>
      </c>
      <c r="AE532" s="663" t="s">
        <v>4934</v>
      </c>
      <c r="AF532" s="663" t="s">
        <v>4962</v>
      </c>
    </row>
    <row r="533" spans="1:32" s="608" customFormat="1" x14ac:dyDescent="0.25">
      <c r="A533" s="624"/>
      <c r="B533" s="617">
        <v>39035124100</v>
      </c>
      <c r="C533" s="617" t="s">
        <v>2201</v>
      </c>
      <c r="D533" s="617" t="s">
        <v>42</v>
      </c>
      <c r="E533" s="617" t="s">
        <v>4853</v>
      </c>
      <c r="F533" s="617" t="s">
        <v>26</v>
      </c>
      <c r="G533" s="624"/>
      <c r="H533" s="669">
        <v>45041</v>
      </c>
      <c r="I533" s="617" t="s">
        <v>4867</v>
      </c>
      <c r="J533" s="617" t="s">
        <v>26</v>
      </c>
      <c r="K533" s="624"/>
      <c r="O533" s="616"/>
      <c r="P533" s="616"/>
      <c r="Q533" s="616"/>
      <c r="AA533" s="624"/>
      <c r="AB533" s="663">
        <v>39035123200</v>
      </c>
      <c r="AC533" s="663" t="s">
        <v>5465</v>
      </c>
      <c r="AD533" s="663" t="s">
        <v>4938</v>
      </c>
      <c r="AE533" s="663" t="s">
        <v>4942</v>
      </c>
      <c r="AF533" s="663" t="s">
        <v>4962</v>
      </c>
    </row>
    <row r="534" spans="1:32" s="608" customFormat="1" x14ac:dyDescent="0.25">
      <c r="A534" s="624"/>
      <c r="B534" s="617">
        <v>39035124201</v>
      </c>
      <c r="C534" s="617" t="s">
        <v>2202</v>
      </c>
      <c r="D534" s="617" t="s">
        <v>42</v>
      </c>
      <c r="E534" s="617" t="s">
        <v>4853</v>
      </c>
      <c r="F534" s="617" t="s">
        <v>24</v>
      </c>
      <c r="G534" s="624"/>
      <c r="H534" s="669">
        <v>41045</v>
      </c>
      <c r="I534" s="617" t="s">
        <v>4867</v>
      </c>
      <c r="J534" s="617" t="s">
        <v>26</v>
      </c>
      <c r="K534" s="624"/>
      <c r="O534" s="616"/>
      <c r="P534" s="616"/>
      <c r="Q534" s="616"/>
      <c r="AA534" s="624"/>
      <c r="AB534" s="663">
        <v>39035123400</v>
      </c>
      <c r="AC534" s="663" t="s">
        <v>5466</v>
      </c>
      <c r="AD534" s="663" t="s">
        <v>4938</v>
      </c>
      <c r="AE534" s="663" t="s">
        <v>4928</v>
      </c>
      <c r="AF534" s="663" t="s">
        <v>4962</v>
      </c>
    </row>
    <row r="535" spans="1:32" s="608" customFormat="1" x14ac:dyDescent="0.25">
      <c r="A535" s="624"/>
      <c r="B535" s="617">
        <v>39035124202</v>
      </c>
      <c r="C535" s="617" t="s">
        <v>2203</v>
      </c>
      <c r="D535" s="617" t="s">
        <v>42</v>
      </c>
      <c r="E535" s="617" t="s">
        <v>4853</v>
      </c>
      <c r="F535" s="617" t="s">
        <v>24</v>
      </c>
      <c r="G535" s="624"/>
      <c r="H535" s="669">
        <v>44126</v>
      </c>
      <c r="I535" s="617" t="s">
        <v>4869</v>
      </c>
      <c r="J535" s="617" t="s">
        <v>26</v>
      </c>
      <c r="K535" s="624"/>
      <c r="O535" s="616"/>
      <c r="P535" s="616"/>
      <c r="Q535" s="616"/>
      <c r="AA535" s="624"/>
      <c r="AB535" s="663">
        <v>39035123501</v>
      </c>
      <c r="AC535" s="663" t="s">
        <v>5467</v>
      </c>
      <c r="AD535" s="663" t="s">
        <v>4948</v>
      </c>
      <c r="AE535" s="663" t="s">
        <v>4928</v>
      </c>
      <c r="AF535" s="663" t="s">
        <v>4962</v>
      </c>
    </row>
    <row r="536" spans="1:32" s="608" customFormat="1" x14ac:dyDescent="0.25">
      <c r="A536" s="624"/>
      <c r="B536" s="617">
        <v>39035124300</v>
      </c>
      <c r="C536" s="617" t="s">
        <v>2204</v>
      </c>
      <c r="D536" s="617" t="s">
        <v>42</v>
      </c>
      <c r="E536" s="617" t="s">
        <v>4853</v>
      </c>
      <c r="F536" s="617" t="s">
        <v>26</v>
      </c>
      <c r="G536" s="624"/>
      <c r="H536" s="669">
        <v>44273</v>
      </c>
      <c r="I536" s="617" t="s">
        <v>4869</v>
      </c>
      <c r="J536" s="617" t="s">
        <v>26</v>
      </c>
      <c r="K536" s="624"/>
      <c r="O536" s="616"/>
      <c r="P536" s="616"/>
      <c r="Q536" s="616"/>
      <c r="AA536" s="624"/>
      <c r="AB536" s="663">
        <v>39035123502</v>
      </c>
      <c r="AC536" s="663" t="s">
        <v>5468</v>
      </c>
      <c r="AD536" s="663" t="s">
        <v>4948</v>
      </c>
      <c r="AE536" s="663" t="s">
        <v>4942</v>
      </c>
      <c r="AF536" s="663" t="s">
        <v>4962</v>
      </c>
    </row>
    <row r="537" spans="1:32" s="608" customFormat="1" x14ac:dyDescent="0.25">
      <c r="A537" s="624"/>
      <c r="B537" s="617">
        <v>39035124500</v>
      </c>
      <c r="C537" s="617" t="s">
        <v>2205</v>
      </c>
      <c r="D537" s="617" t="s">
        <v>42</v>
      </c>
      <c r="E537" s="617" t="s">
        <v>4853</v>
      </c>
      <c r="F537" s="617" t="s">
        <v>24</v>
      </c>
      <c r="G537" s="624"/>
      <c r="H537" s="669">
        <v>44251</v>
      </c>
      <c r="I537" s="617" t="s">
        <v>4869</v>
      </c>
      <c r="J537" s="617" t="s">
        <v>26</v>
      </c>
      <c r="K537" s="624"/>
      <c r="O537" s="616"/>
      <c r="P537" s="616"/>
      <c r="Q537" s="616"/>
      <c r="AA537" s="624"/>
      <c r="AB537" s="663">
        <v>39035123601</v>
      </c>
      <c r="AC537" s="663" t="s">
        <v>5469</v>
      </c>
      <c r="AD537" s="663" t="s">
        <v>4938</v>
      </c>
      <c r="AE537" s="663" t="s">
        <v>4928</v>
      </c>
      <c r="AF537" s="663" t="s">
        <v>4962</v>
      </c>
    </row>
    <row r="538" spans="1:32" s="608" customFormat="1" x14ac:dyDescent="0.25">
      <c r="A538" s="624"/>
      <c r="B538" s="617">
        <v>39035124600</v>
      </c>
      <c r="C538" s="617" t="s">
        <v>2206</v>
      </c>
      <c r="D538" s="617" t="s">
        <v>42</v>
      </c>
      <c r="E538" s="617" t="s">
        <v>4853</v>
      </c>
      <c r="F538" s="617" t="s">
        <v>24</v>
      </c>
      <c r="G538" s="624"/>
      <c r="H538" s="669">
        <v>44512</v>
      </c>
      <c r="I538" s="617" t="s">
        <v>4873</v>
      </c>
      <c r="J538" s="617" t="s">
        <v>26</v>
      </c>
      <c r="K538" s="624"/>
      <c r="O538" s="616"/>
      <c r="P538" s="616"/>
      <c r="Q538" s="616"/>
      <c r="AA538" s="624"/>
      <c r="AB538" s="663">
        <v>39035123602</v>
      </c>
      <c r="AC538" s="663" t="s">
        <v>5470</v>
      </c>
      <c r="AD538" s="663" t="s">
        <v>4927</v>
      </c>
      <c r="AE538" s="663" t="s">
        <v>4928</v>
      </c>
      <c r="AF538" s="663" t="s">
        <v>4946</v>
      </c>
    </row>
    <row r="539" spans="1:32" s="608" customFormat="1" x14ac:dyDescent="0.25">
      <c r="A539" s="624"/>
      <c r="B539" s="617">
        <v>39035126100</v>
      </c>
      <c r="C539" s="617" t="s">
        <v>2207</v>
      </c>
      <c r="D539" s="617" t="s">
        <v>42</v>
      </c>
      <c r="E539" s="617" t="s">
        <v>4853</v>
      </c>
      <c r="F539" s="617" t="s">
        <v>24</v>
      </c>
      <c r="G539" s="624"/>
      <c r="H539" s="669">
        <v>44515</v>
      </c>
      <c r="I539" s="617" t="s">
        <v>4873</v>
      </c>
      <c r="J539" s="617" t="s">
        <v>26</v>
      </c>
      <c r="K539" s="624"/>
      <c r="O539" s="616"/>
      <c r="P539" s="616"/>
      <c r="Q539" s="616"/>
      <c r="AA539" s="624"/>
      <c r="AB539" s="663">
        <v>39035123603</v>
      </c>
      <c r="AC539" s="663" t="s">
        <v>5471</v>
      </c>
      <c r="AD539" s="663" t="s">
        <v>4938</v>
      </c>
      <c r="AE539" s="663" t="s">
        <v>4931</v>
      </c>
      <c r="AF539" s="663" t="s">
        <v>4962</v>
      </c>
    </row>
    <row r="540" spans="1:32" s="608" customFormat="1" x14ac:dyDescent="0.25">
      <c r="A540" s="624"/>
      <c r="B540" s="617">
        <v>39035127501</v>
      </c>
      <c r="C540" s="617" t="s">
        <v>2208</v>
      </c>
      <c r="D540" s="617" t="s">
        <v>42</v>
      </c>
      <c r="E540" s="617" t="s">
        <v>4853</v>
      </c>
      <c r="F540" s="617" t="s">
        <v>24</v>
      </c>
      <c r="G540" s="624"/>
      <c r="H540" s="669">
        <v>44511</v>
      </c>
      <c r="I540" s="617" t="s">
        <v>4873</v>
      </c>
      <c r="J540" s="617" t="s">
        <v>26</v>
      </c>
      <c r="K540" s="624"/>
      <c r="O540" s="616"/>
      <c r="P540" s="616"/>
      <c r="Q540" s="616"/>
      <c r="AA540" s="624"/>
      <c r="AB540" s="663">
        <v>39035123700</v>
      </c>
      <c r="AC540" s="663" t="s">
        <v>5472</v>
      </c>
      <c r="AD540" s="663" t="s">
        <v>4948</v>
      </c>
      <c r="AE540" s="663" t="s">
        <v>4931</v>
      </c>
      <c r="AF540" s="663" t="s">
        <v>4946</v>
      </c>
    </row>
    <row r="541" spans="1:32" s="608" customFormat="1" x14ac:dyDescent="0.25">
      <c r="A541" s="624"/>
      <c r="B541" s="617">
        <v>39035130103</v>
      </c>
      <c r="C541" s="617" t="s">
        <v>2209</v>
      </c>
      <c r="D541" s="617" t="s">
        <v>42</v>
      </c>
      <c r="E541" s="617" t="s">
        <v>4853</v>
      </c>
      <c r="F541" s="617" t="s">
        <v>26</v>
      </c>
      <c r="G541" s="624"/>
      <c r="H541" s="669">
        <v>43764</v>
      </c>
      <c r="I541" s="617" t="s">
        <v>1677</v>
      </c>
      <c r="J541" s="617" t="s">
        <v>26</v>
      </c>
      <c r="K541" s="624"/>
      <c r="O541" s="616"/>
      <c r="P541" s="616"/>
      <c r="Q541" s="616"/>
      <c r="AA541" s="624"/>
      <c r="AB541" s="663">
        <v>39035123800</v>
      </c>
      <c r="AC541" s="663" t="s">
        <v>5473</v>
      </c>
      <c r="AD541" s="663" t="s">
        <v>4927</v>
      </c>
      <c r="AE541" s="663" t="s">
        <v>4928</v>
      </c>
      <c r="AF541" s="663" t="s">
        <v>4962</v>
      </c>
    </row>
    <row r="542" spans="1:32" s="608" customFormat="1" x14ac:dyDescent="0.25">
      <c r="A542" s="624"/>
      <c r="B542" s="617">
        <v>39035130104</v>
      </c>
      <c r="C542" s="617" t="s">
        <v>2210</v>
      </c>
      <c r="D542" s="617" t="s">
        <v>42</v>
      </c>
      <c r="E542" s="617" t="s">
        <v>4853</v>
      </c>
      <c r="F542" s="617" t="s">
        <v>26</v>
      </c>
      <c r="G542" s="624"/>
      <c r="H542" s="669">
        <v>44507</v>
      </c>
      <c r="I542" s="617" t="s">
        <v>4873</v>
      </c>
      <c r="J542" s="617" t="s">
        <v>26</v>
      </c>
      <c r="K542" s="624"/>
      <c r="O542" s="616"/>
      <c r="P542" s="616"/>
      <c r="Q542" s="616"/>
      <c r="AA542" s="624"/>
      <c r="AB542" s="663">
        <v>39035123900</v>
      </c>
      <c r="AC542" s="663" t="s">
        <v>5474</v>
      </c>
      <c r="AD542" s="663" t="s">
        <v>4941</v>
      </c>
      <c r="AE542" s="663" t="s">
        <v>4942</v>
      </c>
      <c r="AF542" s="663" t="s">
        <v>4962</v>
      </c>
    </row>
    <row r="543" spans="1:32" s="608" customFormat="1" x14ac:dyDescent="0.25">
      <c r="A543" s="624"/>
      <c r="B543" s="617">
        <v>39035130105</v>
      </c>
      <c r="C543" s="617" t="s">
        <v>2211</v>
      </c>
      <c r="D543" s="617" t="s">
        <v>42</v>
      </c>
      <c r="E543" s="617" t="s">
        <v>4853</v>
      </c>
      <c r="F543" s="617" t="s">
        <v>26</v>
      </c>
      <c r="G543" s="624"/>
      <c r="H543" s="669">
        <v>44601</v>
      </c>
      <c r="I543" s="617" t="s">
        <v>4873</v>
      </c>
      <c r="J543" s="617" t="s">
        <v>26</v>
      </c>
      <c r="K543" s="624"/>
      <c r="O543" s="616"/>
      <c r="P543" s="616"/>
      <c r="Q543" s="616"/>
      <c r="AA543" s="624"/>
      <c r="AB543" s="663">
        <v>39035124100</v>
      </c>
      <c r="AC543" s="663" t="s">
        <v>5475</v>
      </c>
      <c r="AD543" s="663" t="s">
        <v>4941</v>
      </c>
      <c r="AE543" s="663" t="s">
        <v>4942</v>
      </c>
      <c r="AF543" s="663" t="s">
        <v>4962</v>
      </c>
    </row>
    <row r="544" spans="1:32" s="608" customFormat="1" x14ac:dyDescent="0.25">
      <c r="A544" s="624"/>
      <c r="B544" s="617">
        <v>39035130106</v>
      </c>
      <c r="C544" s="617" t="s">
        <v>2212</v>
      </c>
      <c r="D544" s="617" t="s">
        <v>42</v>
      </c>
      <c r="E544" s="617" t="s">
        <v>4853</v>
      </c>
      <c r="F544" s="617" t="s">
        <v>26</v>
      </c>
      <c r="G544" s="624"/>
      <c r="H544" s="669">
        <v>44833</v>
      </c>
      <c r="I544" s="617" t="s">
        <v>4877</v>
      </c>
      <c r="J544" s="617" t="s">
        <v>26</v>
      </c>
      <c r="K544" s="624"/>
      <c r="O544" s="616"/>
      <c r="P544" s="616"/>
      <c r="Q544" s="616"/>
      <c r="AA544" s="624"/>
      <c r="AB544" s="663">
        <v>39035124201</v>
      </c>
      <c r="AC544" s="663" t="s">
        <v>5476</v>
      </c>
      <c r="AD544" s="663" t="s">
        <v>4941</v>
      </c>
      <c r="AE544" s="663" t="s">
        <v>4928</v>
      </c>
      <c r="AF544" s="663" t="s">
        <v>4962</v>
      </c>
    </row>
    <row r="545" spans="1:32" s="608" customFormat="1" x14ac:dyDescent="0.25">
      <c r="A545" s="624"/>
      <c r="B545" s="617">
        <v>39035131103</v>
      </c>
      <c r="C545" s="617" t="s">
        <v>2213</v>
      </c>
      <c r="D545" s="617" t="s">
        <v>42</v>
      </c>
      <c r="E545" s="617" t="s">
        <v>4853</v>
      </c>
      <c r="F545" s="617" t="s">
        <v>26</v>
      </c>
      <c r="G545" s="624"/>
      <c r="H545" s="669">
        <v>45319</v>
      </c>
      <c r="I545" s="617" t="s">
        <v>4876</v>
      </c>
      <c r="J545" s="617" t="s">
        <v>26</v>
      </c>
      <c r="K545" s="624"/>
      <c r="O545" s="616"/>
      <c r="P545" s="616"/>
      <c r="Q545" s="616"/>
      <c r="AA545" s="624"/>
      <c r="AB545" s="663">
        <v>39035124202</v>
      </c>
      <c r="AC545" s="663" t="s">
        <v>5477</v>
      </c>
      <c r="AD545" s="663" t="s">
        <v>4948</v>
      </c>
      <c r="AE545" s="663" t="s">
        <v>4928</v>
      </c>
      <c r="AF545" s="663" t="s">
        <v>4962</v>
      </c>
    </row>
    <row r="546" spans="1:32" s="608" customFormat="1" x14ac:dyDescent="0.25">
      <c r="A546" s="624"/>
      <c r="B546" s="617">
        <v>39035131104</v>
      </c>
      <c r="C546" s="617" t="s">
        <v>2214</v>
      </c>
      <c r="D546" s="617" t="s">
        <v>42</v>
      </c>
      <c r="E546" s="617" t="s">
        <v>4853</v>
      </c>
      <c r="F546" s="617" t="s">
        <v>26</v>
      </c>
      <c r="G546" s="624"/>
      <c r="H546" s="669">
        <v>43162</v>
      </c>
      <c r="I546" s="617" t="s">
        <v>4871</v>
      </c>
      <c r="J546" s="617" t="s">
        <v>26</v>
      </c>
      <c r="K546" s="624"/>
      <c r="O546" s="616"/>
      <c r="P546" s="616"/>
      <c r="Q546" s="616"/>
      <c r="AA546" s="624"/>
      <c r="AB546" s="663">
        <v>39035124300</v>
      </c>
      <c r="AC546" s="663" t="s">
        <v>5478</v>
      </c>
      <c r="AD546" s="663" t="s">
        <v>4941</v>
      </c>
      <c r="AE546" s="663" t="s">
        <v>4928</v>
      </c>
      <c r="AF546" s="663" t="s">
        <v>4962</v>
      </c>
    </row>
    <row r="547" spans="1:32" s="608" customFormat="1" x14ac:dyDescent="0.25">
      <c r="A547" s="624"/>
      <c r="B547" s="617">
        <v>39035131105</v>
      </c>
      <c r="C547" s="617" t="s">
        <v>2215</v>
      </c>
      <c r="D547" s="617" t="s">
        <v>42</v>
      </c>
      <c r="E547" s="617" t="s">
        <v>4853</v>
      </c>
      <c r="F547" s="617" t="s">
        <v>26</v>
      </c>
      <c r="G547" s="624"/>
      <c r="H547" s="669">
        <v>43317</v>
      </c>
      <c r="I547" s="617" t="s">
        <v>4871</v>
      </c>
      <c r="J547" s="617" t="s">
        <v>26</v>
      </c>
      <c r="K547" s="624"/>
      <c r="O547" s="616"/>
      <c r="P547" s="616"/>
      <c r="Q547" s="616"/>
      <c r="AA547" s="624"/>
      <c r="AB547" s="663">
        <v>39035124500</v>
      </c>
      <c r="AC547" s="663" t="s">
        <v>5479</v>
      </c>
      <c r="AD547" s="663" t="s">
        <v>4950</v>
      </c>
      <c r="AE547" s="663" t="s">
        <v>4934</v>
      </c>
      <c r="AF547" s="663" t="s">
        <v>4946</v>
      </c>
    </row>
    <row r="548" spans="1:32" s="608" customFormat="1" x14ac:dyDescent="0.25">
      <c r="A548" s="624"/>
      <c r="B548" s="617">
        <v>39035132100</v>
      </c>
      <c r="C548" s="617" t="s">
        <v>2216</v>
      </c>
      <c r="D548" s="617" t="s">
        <v>42</v>
      </c>
      <c r="E548" s="617" t="s">
        <v>4853</v>
      </c>
      <c r="F548" s="617" t="s">
        <v>26</v>
      </c>
      <c r="G548" s="624"/>
      <c r="H548" s="669">
        <v>43430</v>
      </c>
      <c r="I548" s="617" t="s">
        <v>1676</v>
      </c>
      <c r="J548" s="617" t="s">
        <v>26</v>
      </c>
      <c r="K548" s="624"/>
      <c r="O548" s="616"/>
      <c r="P548" s="616"/>
      <c r="Q548" s="616"/>
      <c r="AA548" s="624"/>
      <c r="AB548" s="663">
        <v>39035124600</v>
      </c>
      <c r="AC548" s="663" t="s">
        <v>5480</v>
      </c>
      <c r="AD548" s="663" t="s">
        <v>4948</v>
      </c>
      <c r="AE548" s="663" t="s">
        <v>4928</v>
      </c>
      <c r="AF548" s="663" t="s">
        <v>4962</v>
      </c>
    </row>
    <row r="549" spans="1:32" s="608" customFormat="1" x14ac:dyDescent="0.25">
      <c r="A549" s="624"/>
      <c r="B549" s="617">
        <v>39035132200</v>
      </c>
      <c r="C549" s="617" t="s">
        <v>2217</v>
      </c>
      <c r="D549" s="617" t="s">
        <v>42</v>
      </c>
      <c r="E549" s="617" t="s">
        <v>4853</v>
      </c>
      <c r="F549" s="617" t="s">
        <v>26</v>
      </c>
      <c r="G549" s="624"/>
      <c r="H549" s="669">
        <v>43607</v>
      </c>
      <c r="I549" s="617" t="s">
        <v>4872</v>
      </c>
      <c r="J549" s="617" t="s">
        <v>26</v>
      </c>
      <c r="K549" s="624"/>
      <c r="O549" s="616"/>
      <c r="P549" s="616"/>
      <c r="Q549" s="616"/>
      <c r="AA549" s="624"/>
      <c r="AB549" s="663">
        <v>39035126100</v>
      </c>
      <c r="AC549" s="663" t="s">
        <v>5481</v>
      </c>
      <c r="AD549" s="663" t="s">
        <v>4950</v>
      </c>
      <c r="AE549" s="663" t="s">
        <v>4928</v>
      </c>
      <c r="AF549" s="663" t="s">
        <v>4962</v>
      </c>
    </row>
    <row r="550" spans="1:32" s="608" customFormat="1" x14ac:dyDescent="0.25">
      <c r="A550" s="624"/>
      <c r="B550" s="617">
        <v>39035132301</v>
      </c>
      <c r="C550" s="617" t="s">
        <v>2218</v>
      </c>
      <c r="D550" s="617" t="s">
        <v>42</v>
      </c>
      <c r="E550" s="617" t="s">
        <v>4853</v>
      </c>
      <c r="F550" s="617" t="s">
        <v>26</v>
      </c>
      <c r="G550" s="624"/>
      <c r="H550" s="669">
        <v>43623</v>
      </c>
      <c r="I550" s="617" t="s">
        <v>4872</v>
      </c>
      <c r="J550" s="617" t="s">
        <v>26</v>
      </c>
      <c r="K550" s="624"/>
      <c r="O550" s="616"/>
      <c r="P550" s="616"/>
      <c r="Q550" s="616"/>
      <c r="AA550" s="624"/>
      <c r="AB550" s="663">
        <v>39035127501</v>
      </c>
      <c r="AC550" s="663" t="s">
        <v>5482</v>
      </c>
      <c r="AD550" s="663" t="s">
        <v>4927</v>
      </c>
      <c r="AE550" s="663" t="s">
        <v>4942</v>
      </c>
      <c r="AF550" s="663" t="s">
        <v>4962</v>
      </c>
    </row>
    <row r="551" spans="1:32" s="608" customFormat="1" x14ac:dyDescent="0.25">
      <c r="A551" s="624"/>
      <c r="B551" s="617">
        <v>39035132302</v>
      </c>
      <c r="C551" s="617" t="s">
        <v>2219</v>
      </c>
      <c r="D551" s="617" t="s">
        <v>42</v>
      </c>
      <c r="E551" s="617" t="s">
        <v>4853</v>
      </c>
      <c r="F551" s="617" t="s">
        <v>26</v>
      </c>
      <c r="G551" s="624"/>
      <c r="H551" s="669">
        <v>43610</v>
      </c>
      <c r="I551" s="617" t="s">
        <v>4872</v>
      </c>
      <c r="J551" s="617" t="s">
        <v>26</v>
      </c>
      <c r="K551" s="624"/>
      <c r="O551" s="616"/>
      <c r="P551" s="616"/>
      <c r="Q551" s="616"/>
      <c r="AA551" s="624"/>
      <c r="AB551" s="663">
        <v>39035130103</v>
      </c>
      <c r="AC551" s="663" t="s">
        <v>5483</v>
      </c>
      <c r="AD551" s="663" t="s">
        <v>4938</v>
      </c>
      <c r="AE551" s="663" t="s">
        <v>4934</v>
      </c>
      <c r="AF551" s="663" t="s">
        <v>4946</v>
      </c>
    </row>
    <row r="552" spans="1:32" s="608" customFormat="1" x14ac:dyDescent="0.25">
      <c r="A552" s="624"/>
      <c r="B552" s="617">
        <v>39035133103</v>
      </c>
      <c r="C552" s="617" t="s">
        <v>2220</v>
      </c>
      <c r="D552" s="617" t="s">
        <v>42</v>
      </c>
      <c r="E552" s="617" t="s">
        <v>4853</v>
      </c>
      <c r="F552" s="617" t="s">
        <v>26</v>
      </c>
      <c r="G552" s="624"/>
      <c r="H552" s="669">
        <v>43467</v>
      </c>
      <c r="I552" s="617" t="s">
        <v>4872</v>
      </c>
      <c r="J552" s="617" t="s">
        <v>26</v>
      </c>
      <c r="K552" s="624"/>
      <c r="O552" s="616"/>
      <c r="P552" s="616"/>
      <c r="Q552" s="616"/>
      <c r="AA552" s="624"/>
      <c r="AB552" s="663">
        <v>39035130104</v>
      </c>
      <c r="AC552" s="663" t="s">
        <v>5484</v>
      </c>
      <c r="AD552" s="663" t="s">
        <v>4938</v>
      </c>
      <c r="AE552" s="663" t="s">
        <v>4942</v>
      </c>
      <c r="AF552" s="663" t="s">
        <v>4946</v>
      </c>
    </row>
    <row r="553" spans="1:32" s="608" customFormat="1" x14ac:dyDescent="0.25">
      <c r="A553" s="624"/>
      <c r="B553" s="617">
        <v>39035133104</v>
      </c>
      <c r="C553" s="617" t="s">
        <v>2221</v>
      </c>
      <c r="D553" s="617" t="s">
        <v>42</v>
      </c>
      <c r="E553" s="617" t="s">
        <v>4853</v>
      </c>
      <c r="F553" s="617" t="s">
        <v>24</v>
      </c>
      <c r="G553" s="624"/>
      <c r="H553" s="669">
        <v>44303</v>
      </c>
      <c r="I553" s="617" t="s">
        <v>4868</v>
      </c>
      <c r="J553" s="617" t="s">
        <v>26</v>
      </c>
      <c r="K553" s="624"/>
      <c r="O553" s="616"/>
      <c r="P553" s="616"/>
      <c r="Q553" s="616"/>
      <c r="AA553" s="624"/>
      <c r="AB553" s="663">
        <v>39035130105</v>
      </c>
      <c r="AC553" s="663" t="s">
        <v>5485</v>
      </c>
      <c r="AD553" s="663" t="s">
        <v>4938</v>
      </c>
      <c r="AE553" s="663" t="s">
        <v>5332</v>
      </c>
      <c r="AF553" s="663" t="s">
        <v>4946</v>
      </c>
    </row>
    <row r="554" spans="1:32" s="608" customFormat="1" x14ac:dyDescent="0.25">
      <c r="A554" s="624"/>
      <c r="B554" s="617">
        <v>39035134100</v>
      </c>
      <c r="C554" s="617" t="s">
        <v>2222</v>
      </c>
      <c r="D554" s="617" t="s">
        <v>42</v>
      </c>
      <c r="E554" s="617" t="s">
        <v>4853</v>
      </c>
      <c r="F554" s="617" t="s">
        <v>26</v>
      </c>
      <c r="G554" s="624"/>
      <c r="H554" s="669">
        <v>44262</v>
      </c>
      <c r="I554" s="617" t="s">
        <v>4868</v>
      </c>
      <c r="J554" s="617" t="s">
        <v>26</v>
      </c>
      <c r="K554" s="624"/>
      <c r="O554" s="616"/>
      <c r="P554" s="616"/>
      <c r="Q554" s="616"/>
      <c r="AA554" s="624"/>
      <c r="AB554" s="663">
        <v>39035130106</v>
      </c>
      <c r="AC554" s="663" t="s">
        <v>5486</v>
      </c>
      <c r="AD554" s="663" t="s">
        <v>4938</v>
      </c>
      <c r="AE554" s="663" t="s">
        <v>4942</v>
      </c>
      <c r="AF554" s="663" t="s">
        <v>4946</v>
      </c>
    </row>
    <row r="555" spans="1:32" s="608" customFormat="1" x14ac:dyDescent="0.25">
      <c r="A555" s="624"/>
      <c r="B555" s="617">
        <v>39035134203</v>
      </c>
      <c r="C555" s="617" t="s">
        <v>2223</v>
      </c>
      <c r="D555" s="617" t="s">
        <v>42</v>
      </c>
      <c r="E555" s="617" t="s">
        <v>4853</v>
      </c>
      <c r="F555" s="617" t="s">
        <v>26</v>
      </c>
      <c r="G555" s="624"/>
      <c r="H555" s="669">
        <v>41017</v>
      </c>
      <c r="I555" s="617" t="s">
        <v>4867</v>
      </c>
      <c r="J555" s="617" t="s">
        <v>26</v>
      </c>
      <c r="K555" s="624"/>
      <c r="O555" s="616"/>
      <c r="P555" s="616"/>
      <c r="Q555" s="616"/>
      <c r="AA555" s="624"/>
      <c r="AB555" s="663">
        <v>39035131102</v>
      </c>
      <c r="AC555" s="663" t="s">
        <v>5487</v>
      </c>
      <c r="AD555" s="663" t="s">
        <v>4938</v>
      </c>
      <c r="AE555" s="663" t="s">
        <v>4942</v>
      </c>
      <c r="AF555" s="663" t="s">
        <v>4946</v>
      </c>
    </row>
    <row r="556" spans="1:32" s="608" customFormat="1" x14ac:dyDescent="0.25">
      <c r="A556" s="624"/>
      <c r="B556" s="617">
        <v>39035134204</v>
      </c>
      <c r="C556" s="617" t="s">
        <v>2224</v>
      </c>
      <c r="D556" s="617" t="s">
        <v>42</v>
      </c>
      <c r="E556" s="617" t="s">
        <v>4853</v>
      </c>
      <c r="F556" s="617" t="s">
        <v>26</v>
      </c>
      <c r="G556" s="624"/>
      <c r="H556" s="669">
        <v>45056</v>
      </c>
      <c r="I556" s="617" t="s">
        <v>4867</v>
      </c>
      <c r="J556" s="617" t="s">
        <v>26</v>
      </c>
      <c r="K556" s="624"/>
      <c r="O556" s="616"/>
      <c r="P556" s="616"/>
      <c r="Q556" s="616"/>
      <c r="AA556" s="624"/>
      <c r="AB556" s="663">
        <v>39035131103</v>
      </c>
      <c r="AC556" s="663" t="s">
        <v>5488</v>
      </c>
      <c r="AD556" s="663" t="s">
        <v>4938</v>
      </c>
      <c r="AE556" s="663" t="s">
        <v>4931</v>
      </c>
      <c r="AF556" s="663" t="s">
        <v>4946</v>
      </c>
    </row>
    <row r="557" spans="1:32" s="608" customFormat="1" x14ac:dyDescent="0.25">
      <c r="A557" s="624"/>
      <c r="B557" s="617">
        <v>39035134205</v>
      </c>
      <c r="C557" s="617" t="s">
        <v>2225</v>
      </c>
      <c r="D557" s="617" t="s">
        <v>42</v>
      </c>
      <c r="E557" s="617" t="s">
        <v>4853</v>
      </c>
      <c r="F557" s="617" t="s">
        <v>26</v>
      </c>
      <c r="G557" s="624"/>
      <c r="H557" s="669">
        <v>45212</v>
      </c>
      <c r="I557" s="617" t="s">
        <v>4867</v>
      </c>
      <c r="J557" s="617" t="s">
        <v>26</v>
      </c>
      <c r="K557" s="624"/>
      <c r="O557" s="616"/>
      <c r="P557" s="616"/>
      <c r="Q557" s="616"/>
      <c r="AA557" s="624"/>
      <c r="AB557" s="663">
        <v>39035131104</v>
      </c>
      <c r="AC557" s="663" t="s">
        <v>5489</v>
      </c>
      <c r="AD557" s="663" t="s">
        <v>4938</v>
      </c>
      <c r="AE557" s="663" t="s">
        <v>4928</v>
      </c>
      <c r="AF557" s="663" t="s">
        <v>4946</v>
      </c>
    </row>
    <row r="558" spans="1:32" s="608" customFormat="1" x14ac:dyDescent="0.25">
      <c r="A558" s="624"/>
      <c r="B558" s="617">
        <v>39035134206</v>
      </c>
      <c r="C558" s="617" t="s">
        <v>2226</v>
      </c>
      <c r="D558" s="617" t="s">
        <v>42</v>
      </c>
      <c r="E558" s="617" t="s">
        <v>4853</v>
      </c>
      <c r="F558" s="617" t="s">
        <v>26</v>
      </c>
      <c r="G558" s="624"/>
      <c r="H558" s="669">
        <v>45420</v>
      </c>
      <c r="I558" s="617" t="s">
        <v>4870</v>
      </c>
      <c r="J558" s="617" t="s">
        <v>26</v>
      </c>
      <c r="K558" s="624"/>
      <c r="O558" s="616"/>
      <c r="P558" s="616"/>
      <c r="Q558" s="616"/>
      <c r="AA558" s="624"/>
      <c r="AB558" s="663">
        <v>39035132100</v>
      </c>
      <c r="AC558" s="663" t="s">
        <v>5490</v>
      </c>
      <c r="AD558" s="663" t="s">
        <v>4950</v>
      </c>
      <c r="AE558" s="663" t="s">
        <v>4942</v>
      </c>
      <c r="AF558" s="663" t="s">
        <v>4946</v>
      </c>
    </row>
    <row r="559" spans="1:32" s="608" customFormat="1" x14ac:dyDescent="0.25">
      <c r="A559" s="624"/>
      <c r="B559" s="617">
        <v>39035134300</v>
      </c>
      <c r="C559" s="617" t="s">
        <v>2227</v>
      </c>
      <c r="D559" s="617" t="s">
        <v>42</v>
      </c>
      <c r="E559" s="617" t="s">
        <v>4853</v>
      </c>
      <c r="F559" s="617" t="s">
        <v>26</v>
      </c>
      <c r="G559" s="624"/>
      <c r="H559" s="669">
        <v>45356</v>
      </c>
      <c r="I559" s="617" t="s">
        <v>4870</v>
      </c>
      <c r="J559" s="617" t="s">
        <v>26</v>
      </c>
      <c r="K559" s="624"/>
      <c r="O559" s="616"/>
      <c r="P559" s="616"/>
      <c r="Q559" s="616"/>
      <c r="AA559" s="624"/>
      <c r="AB559" s="663">
        <v>39035132200</v>
      </c>
      <c r="AC559" s="663" t="s">
        <v>5491</v>
      </c>
      <c r="AD559" s="663" t="s">
        <v>4927</v>
      </c>
      <c r="AE559" s="663" t="s">
        <v>5006</v>
      </c>
      <c r="AF559" s="663" t="s">
        <v>4946</v>
      </c>
    </row>
    <row r="560" spans="1:32" s="608" customFormat="1" x14ac:dyDescent="0.25">
      <c r="A560" s="624"/>
      <c r="B560" s="617">
        <v>39035135103</v>
      </c>
      <c r="C560" s="617" t="s">
        <v>2228</v>
      </c>
      <c r="D560" s="617" t="s">
        <v>42</v>
      </c>
      <c r="E560" s="617" t="s">
        <v>4853</v>
      </c>
      <c r="F560" s="617" t="s">
        <v>26</v>
      </c>
      <c r="G560" s="624"/>
      <c r="H560" s="669">
        <v>44608</v>
      </c>
      <c r="I560" s="617" t="s">
        <v>4874</v>
      </c>
      <c r="J560" s="617" t="s">
        <v>26</v>
      </c>
      <c r="K560" s="624"/>
      <c r="O560" s="616"/>
      <c r="P560" s="616"/>
      <c r="Q560" s="616"/>
      <c r="AA560" s="624"/>
      <c r="AB560" s="663">
        <v>39035132301</v>
      </c>
      <c r="AC560" s="663" t="s">
        <v>5492</v>
      </c>
      <c r="AD560" s="663" t="s">
        <v>4927</v>
      </c>
      <c r="AE560" s="663" t="s">
        <v>4934</v>
      </c>
      <c r="AF560" s="663" t="s">
        <v>4946</v>
      </c>
    </row>
    <row r="561" spans="1:32" s="608" customFormat="1" x14ac:dyDescent="0.25">
      <c r="A561" s="624"/>
      <c r="B561" s="617">
        <v>39035135104</v>
      </c>
      <c r="C561" s="617" t="s">
        <v>2229</v>
      </c>
      <c r="D561" s="617" t="s">
        <v>42</v>
      </c>
      <c r="E561" s="617" t="s">
        <v>4853</v>
      </c>
      <c r="F561" s="617" t="s">
        <v>26</v>
      </c>
      <c r="G561" s="624"/>
      <c r="H561" s="669">
        <v>44643</v>
      </c>
      <c r="I561" s="617" t="s">
        <v>4874</v>
      </c>
      <c r="J561" s="617" t="s">
        <v>26</v>
      </c>
      <c r="K561" s="624"/>
      <c r="O561" s="616"/>
      <c r="P561" s="616"/>
      <c r="Q561" s="616"/>
      <c r="AA561" s="624"/>
      <c r="AB561" s="663">
        <v>39035132302</v>
      </c>
      <c r="AC561" s="663" t="s">
        <v>5493</v>
      </c>
      <c r="AD561" s="663" t="s">
        <v>4927</v>
      </c>
      <c r="AE561" s="663" t="s">
        <v>4942</v>
      </c>
      <c r="AF561" s="663" t="s">
        <v>4946</v>
      </c>
    </row>
    <row r="562" spans="1:32" s="608" customFormat="1" x14ac:dyDescent="0.25">
      <c r="A562" s="624"/>
      <c r="B562" s="617">
        <v>39035135105</v>
      </c>
      <c r="C562" s="617" t="s">
        <v>2230</v>
      </c>
      <c r="D562" s="617" t="s">
        <v>42</v>
      </c>
      <c r="E562" s="617" t="s">
        <v>4853</v>
      </c>
      <c r="F562" s="617" t="s">
        <v>26</v>
      </c>
      <c r="G562" s="624"/>
      <c r="H562" s="669">
        <v>43232</v>
      </c>
      <c r="I562" s="617" t="s">
        <v>4871</v>
      </c>
      <c r="J562" s="617" t="s">
        <v>26</v>
      </c>
      <c r="K562" s="624"/>
      <c r="O562" s="616"/>
      <c r="P562" s="616"/>
      <c r="Q562" s="616"/>
      <c r="AA562" s="624"/>
      <c r="AB562" s="663">
        <v>39035133103</v>
      </c>
      <c r="AC562" s="663" t="s">
        <v>5494</v>
      </c>
      <c r="AD562" s="663" t="s">
        <v>4927</v>
      </c>
      <c r="AE562" s="663" t="s">
        <v>4942</v>
      </c>
      <c r="AF562" s="663" t="s">
        <v>4946</v>
      </c>
    </row>
    <row r="563" spans="1:32" s="608" customFormat="1" x14ac:dyDescent="0.25">
      <c r="A563" s="624"/>
      <c r="B563" s="617">
        <v>39035135106</v>
      </c>
      <c r="C563" s="617" t="s">
        <v>2231</v>
      </c>
      <c r="D563" s="617" t="s">
        <v>42</v>
      </c>
      <c r="E563" s="617" t="s">
        <v>4853</v>
      </c>
      <c r="F563" s="617" t="s">
        <v>26</v>
      </c>
      <c r="G563" s="624"/>
      <c r="H563" s="669">
        <v>43223</v>
      </c>
      <c r="I563" s="617" t="s">
        <v>4871</v>
      </c>
      <c r="J563" s="617" t="s">
        <v>26</v>
      </c>
      <c r="K563" s="624"/>
      <c r="O563" s="616"/>
      <c r="P563" s="616"/>
      <c r="Q563" s="616"/>
      <c r="AA563" s="624"/>
      <c r="AB563" s="663">
        <v>39035133104</v>
      </c>
      <c r="AC563" s="663" t="s">
        <v>5495</v>
      </c>
      <c r="AD563" s="663" t="s">
        <v>4927</v>
      </c>
      <c r="AE563" s="663" t="s">
        <v>4939</v>
      </c>
      <c r="AF563" s="663" t="s">
        <v>4946</v>
      </c>
    </row>
    <row r="564" spans="1:32" s="608" customFormat="1" x14ac:dyDescent="0.25">
      <c r="A564" s="624"/>
      <c r="B564" s="617">
        <v>39035136101</v>
      </c>
      <c r="C564" s="617" t="s">
        <v>2232</v>
      </c>
      <c r="D564" s="617" t="s">
        <v>42</v>
      </c>
      <c r="E564" s="617" t="s">
        <v>4853</v>
      </c>
      <c r="F564" s="617" t="s">
        <v>26</v>
      </c>
      <c r="G564" s="624"/>
      <c r="H564" s="669">
        <v>43102</v>
      </c>
      <c r="I564" s="617" t="s">
        <v>4871</v>
      </c>
      <c r="J564" s="617" t="s">
        <v>26</v>
      </c>
      <c r="K564" s="624"/>
      <c r="O564" s="616"/>
      <c r="P564" s="616"/>
      <c r="Q564" s="616"/>
      <c r="AA564" s="624"/>
      <c r="AB564" s="663">
        <v>39035134100</v>
      </c>
      <c r="AC564" s="663" t="s">
        <v>5496</v>
      </c>
      <c r="AD564" s="663" t="s">
        <v>4941</v>
      </c>
      <c r="AE564" s="663" t="s">
        <v>4931</v>
      </c>
      <c r="AF564" s="663" t="s">
        <v>4946</v>
      </c>
    </row>
    <row r="565" spans="1:32" s="608" customFormat="1" x14ac:dyDescent="0.25">
      <c r="A565" s="624"/>
      <c r="B565" s="617">
        <v>39035136103</v>
      </c>
      <c r="C565" s="617" t="s">
        <v>2233</v>
      </c>
      <c r="D565" s="617" t="s">
        <v>42</v>
      </c>
      <c r="E565" s="617" t="s">
        <v>4853</v>
      </c>
      <c r="F565" s="617" t="s">
        <v>26</v>
      </c>
      <c r="G565" s="624"/>
      <c r="H565" s="669">
        <v>43013</v>
      </c>
      <c r="I565" s="617" t="s">
        <v>4871</v>
      </c>
      <c r="J565" s="617" t="s">
        <v>26</v>
      </c>
      <c r="K565" s="624"/>
      <c r="O565" s="616"/>
      <c r="P565" s="616"/>
      <c r="Q565" s="616"/>
      <c r="AA565" s="624"/>
      <c r="AB565" s="663">
        <v>39035134203</v>
      </c>
      <c r="AC565" s="663" t="s">
        <v>5497</v>
      </c>
      <c r="AD565" s="663" t="s">
        <v>4941</v>
      </c>
      <c r="AE565" s="663" t="s">
        <v>4931</v>
      </c>
      <c r="AF565" s="663" t="s">
        <v>4946</v>
      </c>
    </row>
    <row r="566" spans="1:32" s="608" customFormat="1" x14ac:dyDescent="0.25">
      <c r="A566" s="624"/>
      <c r="B566" s="617">
        <v>39035136104</v>
      </c>
      <c r="C566" s="617" t="s">
        <v>2234</v>
      </c>
      <c r="D566" s="617" t="s">
        <v>42</v>
      </c>
      <c r="E566" s="617" t="s">
        <v>4853</v>
      </c>
      <c r="F566" s="617" t="s">
        <v>26</v>
      </c>
      <c r="G566" s="624"/>
      <c r="H566" s="669">
        <v>43721</v>
      </c>
      <c r="I566" s="617" t="s">
        <v>4871</v>
      </c>
      <c r="J566" s="617" t="s">
        <v>26</v>
      </c>
      <c r="K566" s="624"/>
      <c r="O566" s="616"/>
      <c r="P566" s="616"/>
      <c r="Q566" s="616"/>
      <c r="AA566" s="624"/>
      <c r="AB566" s="663">
        <v>39035134204</v>
      </c>
      <c r="AC566" s="663" t="s">
        <v>5498</v>
      </c>
      <c r="AD566" s="663" t="s">
        <v>4950</v>
      </c>
      <c r="AE566" s="663" t="s">
        <v>4942</v>
      </c>
      <c r="AF566" s="663" t="s">
        <v>4946</v>
      </c>
    </row>
    <row r="567" spans="1:32" s="608" customFormat="1" x14ac:dyDescent="0.25">
      <c r="A567" s="624"/>
      <c r="B567" s="617">
        <v>39035136105</v>
      </c>
      <c r="C567" s="617" t="s">
        <v>2235</v>
      </c>
      <c r="D567" s="617" t="s">
        <v>42</v>
      </c>
      <c r="E567" s="617" t="s">
        <v>4853</v>
      </c>
      <c r="F567" s="617" t="s">
        <v>26</v>
      </c>
      <c r="G567" s="624"/>
      <c r="H567" s="669">
        <v>43044</v>
      </c>
      <c r="I567" s="617" t="s">
        <v>4871</v>
      </c>
      <c r="J567" s="617" t="s">
        <v>26</v>
      </c>
      <c r="K567" s="624"/>
      <c r="O567" s="616"/>
      <c r="P567" s="616"/>
      <c r="Q567" s="616"/>
      <c r="AA567" s="624"/>
      <c r="AB567" s="663">
        <v>39035134205</v>
      </c>
      <c r="AC567" s="663" t="s">
        <v>5499</v>
      </c>
      <c r="AD567" s="663" t="s">
        <v>4941</v>
      </c>
      <c r="AE567" s="663" t="s">
        <v>4931</v>
      </c>
      <c r="AF567" s="663" t="s">
        <v>4946</v>
      </c>
    </row>
    <row r="568" spans="1:32" s="608" customFormat="1" x14ac:dyDescent="0.25">
      <c r="A568" s="624"/>
      <c r="B568" s="617">
        <v>39035137101</v>
      </c>
      <c r="C568" s="617" t="s">
        <v>2236</v>
      </c>
      <c r="D568" s="617" t="s">
        <v>42</v>
      </c>
      <c r="E568" s="617" t="s">
        <v>4853</v>
      </c>
      <c r="F568" s="617" t="s">
        <v>26</v>
      </c>
      <c r="G568" s="624"/>
      <c r="H568" s="669">
        <v>44035</v>
      </c>
      <c r="I568" s="617" t="s">
        <v>4869</v>
      </c>
      <c r="J568" s="617" t="s">
        <v>26</v>
      </c>
      <c r="K568" s="624"/>
      <c r="O568" s="616"/>
      <c r="P568" s="616"/>
      <c r="Q568" s="616"/>
      <c r="AA568" s="624"/>
      <c r="AB568" s="663">
        <v>39035134206</v>
      </c>
      <c r="AC568" s="663" t="s">
        <v>5500</v>
      </c>
      <c r="AD568" s="663" t="s">
        <v>4948</v>
      </c>
      <c r="AE568" s="663" t="s">
        <v>4934</v>
      </c>
      <c r="AF568" s="663" t="s">
        <v>4946</v>
      </c>
    </row>
    <row r="569" spans="1:32" s="608" customFormat="1" x14ac:dyDescent="0.25">
      <c r="A569" s="624"/>
      <c r="B569" s="617">
        <v>39035137102</v>
      </c>
      <c r="C569" s="617" t="s">
        <v>2237</v>
      </c>
      <c r="D569" s="617" t="s">
        <v>42</v>
      </c>
      <c r="E569" s="617" t="s">
        <v>4853</v>
      </c>
      <c r="F569" s="617" t="s">
        <v>26</v>
      </c>
      <c r="G569" s="624"/>
      <c r="H569" s="669">
        <v>44055</v>
      </c>
      <c r="I569" s="617" t="s">
        <v>4869</v>
      </c>
      <c r="J569" s="617" t="s">
        <v>26</v>
      </c>
      <c r="K569" s="624"/>
      <c r="O569" s="616"/>
      <c r="P569" s="616"/>
      <c r="Q569" s="616"/>
      <c r="AA569" s="624"/>
      <c r="AB569" s="663">
        <v>39035134300</v>
      </c>
      <c r="AC569" s="663" t="s">
        <v>5501</v>
      </c>
      <c r="AD569" s="663" t="s">
        <v>4941</v>
      </c>
      <c r="AE569" s="663" t="s">
        <v>4928</v>
      </c>
      <c r="AF569" s="663" t="s">
        <v>4946</v>
      </c>
    </row>
    <row r="570" spans="1:32" s="608" customFormat="1" x14ac:dyDescent="0.25">
      <c r="A570" s="624"/>
      <c r="B570" s="617">
        <v>39035137103</v>
      </c>
      <c r="C570" s="617" t="s">
        <v>2238</v>
      </c>
      <c r="D570" s="617" t="s">
        <v>42</v>
      </c>
      <c r="E570" s="617" t="s">
        <v>4853</v>
      </c>
      <c r="F570" s="617" t="s">
        <v>26</v>
      </c>
      <c r="G570" s="624"/>
      <c r="H570" s="669">
        <v>44275</v>
      </c>
      <c r="I570" s="617" t="s">
        <v>4869</v>
      </c>
      <c r="J570" s="617" t="s">
        <v>26</v>
      </c>
      <c r="K570" s="624"/>
      <c r="O570" s="616"/>
      <c r="P570" s="616"/>
      <c r="Q570" s="616"/>
      <c r="AA570" s="624"/>
      <c r="AB570" s="663">
        <v>39035135103</v>
      </c>
      <c r="AC570" s="663" t="s">
        <v>5502</v>
      </c>
      <c r="AD570" s="663" t="s">
        <v>4938</v>
      </c>
      <c r="AE570" s="663" t="s">
        <v>4939</v>
      </c>
      <c r="AF570" s="663" t="s">
        <v>4946</v>
      </c>
    </row>
    <row r="571" spans="1:32" s="608" customFormat="1" x14ac:dyDescent="0.25">
      <c r="A571" s="624"/>
      <c r="B571" s="617">
        <v>39035138105</v>
      </c>
      <c r="C571" s="617" t="s">
        <v>2239</v>
      </c>
      <c r="D571" s="617" t="s">
        <v>42</v>
      </c>
      <c r="E571" s="617" t="s">
        <v>4853</v>
      </c>
      <c r="F571" s="617" t="s">
        <v>26</v>
      </c>
      <c r="G571" s="624"/>
      <c r="H571" s="669">
        <v>44099</v>
      </c>
      <c r="I571" s="617" t="s">
        <v>4869</v>
      </c>
      <c r="J571" s="617" t="s">
        <v>26</v>
      </c>
      <c r="K571" s="624"/>
      <c r="O571" s="616"/>
      <c r="P571" s="616"/>
      <c r="Q571" s="616"/>
      <c r="AA571" s="624"/>
      <c r="AB571" s="663">
        <v>39035135104</v>
      </c>
      <c r="AC571" s="663" t="s">
        <v>5503</v>
      </c>
      <c r="AD571" s="663" t="s">
        <v>4938</v>
      </c>
      <c r="AE571" s="663" t="s">
        <v>4928</v>
      </c>
      <c r="AF571" s="663" t="s">
        <v>4946</v>
      </c>
    </row>
    <row r="572" spans="1:32" s="608" customFormat="1" x14ac:dyDescent="0.25">
      <c r="A572" s="624"/>
      <c r="B572" s="617">
        <v>39035138106</v>
      </c>
      <c r="C572" s="617" t="s">
        <v>2240</v>
      </c>
      <c r="D572" s="617" t="s">
        <v>42</v>
      </c>
      <c r="E572" s="617" t="s">
        <v>4853</v>
      </c>
      <c r="F572" s="617" t="s">
        <v>26</v>
      </c>
      <c r="G572" s="624"/>
      <c r="H572" s="669">
        <v>44444</v>
      </c>
      <c r="I572" s="617" t="s">
        <v>4873</v>
      </c>
      <c r="J572" s="617" t="s">
        <v>26</v>
      </c>
      <c r="K572" s="624"/>
      <c r="O572" s="616"/>
      <c r="P572" s="616"/>
      <c r="Q572" s="616"/>
      <c r="AA572" s="624"/>
      <c r="AB572" s="663">
        <v>39035135105</v>
      </c>
      <c r="AC572" s="663" t="s">
        <v>5504</v>
      </c>
      <c r="AD572" s="663" t="s">
        <v>4938</v>
      </c>
      <c r="AE572" s="663" t="s">
        <v>4939</v>
      </c>
      <c r="AF572" s="663" t="s">
        <v>4946</v>
      </c>
    </row>
    <row r="573" spans="1:32" s="608" customFormat="1" x14ac:dyDescent="0.25">
      <c r="A573" s="624"/>
      <c r="B573" s="617">
        <v>39035138107</v>
      </c>
      <c r="C573" s="617" t="s">
        <v>2241</v>
      </c>
      <c r="D573" s="617" t="s">
        <v>42</v>
      </c>
      <c r="E573" s="617" t="s">
        <v>4853</v>
      </c>
      <c r="F573" s="617" t="s">
        <v>26</v>
      </c>
      <c r="G573" s="624"/>
      <c r="H573" s="669">
        <v>44460</v>
      </c>
      <c r="I573" s="617" t="s">
        <v>4873</v>
      </c>
      <c r="J573" s="617" t="s">
        <v>26</v>
      </c>
      <c r="K573" s="624"/>
      <c r="O573" s="616"/>
      <c r="P573" s="616"/>
      <c r="Q573" s="616"/>
      <c r="AA573" s="624"/>
      <c r="AB573" s="663">
        <v>39035135106</v>
      </c>
      <c r="AC573" s="663" t="s">
        <v>5505</v>
      </c>
      <c r="AD573" s="663" t="s">
        <v>4938</v>
      </c>
      <c r="AE573" s="663" t="s">
        <v>4942</v>
      </c>
      <c r="AF573" s="663" t="s">
        <v>4946</v>
      </c>
    </row>
    <row r="574" spans="1:32" s="608" customFormat="1" x14ac:dyDescent="0.25">
      <c r="A574" s="624"/>
      <c r="B574" s="617">
        <v>39035138108</v>
      </c>
      <c r="C574" s="617" t="s">
        <v>2242</v>
      </c>
      <c r="D574" s="617" t="s">
        <v>42</v>
      </c>
      <c r="E574" s="617" t="s">
        <v>4853</v>
      </c>
      <c r="F574" s="617" t="s">
        <v>26</v>
      </c>
      <c r="G574" s="624"/>
      <c r="H574" s="669">
        <v>44451</v>
      </c>
      <c r="I574" s="617" t="s">
        <v>4873</v>
      </c>
      <c r="J574" s="617" t="s">
        <v>26</v>
      </c>
      <c r="K574" s="624"/>
      <c r="O574" s="616"/>
      <c r="P574" s="616"/>
      <c r="Q574" s="616"/>
      <c r="AA574" s="624"/>
      <c r="AB574" s="663">
        <v>39035136101</v>
      </c>
      <c r="AC574" s="663" t="s">
        <v>5506</v>
      </c>
      <c r="AD574" s="663" t="s">
        <v>4938</v>
      </c>
      <c r="AE574" s="663" t="s">
        <v>4942</v>
      </c>
      <c r="AF574" s="663" t="s">
        <v>4946</v>
      </c>
    </row>
    <row r="575" spans="1:32" s="608" customFormat="1" x14ac:dyDescent="0.25">
      <c r="A575" s="624"/>
      <c r="B575" s="617">
        <v>39035138109</v>
      </c>
      <c r="C575" s="617" t="s">
        <v>2243</v>
      </c>
      <c r="D575" s="617" t="s">
        <v>42</v>
      </c>
      <c r="E575" s="617" t="s">
        <v>4853</v>
      </c>
      <c r="F575" s="617" t="s">
        <v>26</v>
      </c>
      <c r="G575" s="624"/>
      <c r="H575" s="669">
        <v>43766</v>
      </c>
      <c r="I575" s="617" t="s">
        <v>1677</v>
      </c>
      <c r="J575" s="617" t="s">
        <v>26</v>
      </c>
      <c r="K575" s="624"/>
      <c r="O575" s="616"/>
      <c r="P575" s="616"/>
      <c r="Q575" s="616"/>
      <c r="AA575" s="624"/>
      <c r="AB575" s="663">
        <v>39035136102</v>
      </c>
      <c r="AC575" s="663" t="s">
        <v>5507</v>
      </c>
      <c r="AD575" s="663" t="s">
        <v>4941</v>
      </c>
      <c r="AE575" s="663" t="s">
        <v>4928</v>
      </c>
      <c r="AF575" s="663" t="s">
        <v>4946</v>
      </c>
    </row>
    <row r="576" spans="1:32" s="608" customFormat="1" x14ac:dyDescent="0.25">
      <c r="A576" s="624"/>
      <c r="B576" s="617">
        <v>39035138110</v>
      </c>
      <c r="C576" s="617" t="s">
        <v>2244</v>
      </c>
      <c r="D576" s="617" t="s">
        <v>42</v>
      </c>
      <c r="E576" s="617" t="s">
        <v>4853</v>
      </c>
      <c r="F576" s="617" t="s">
        <v>26</v>
      </c>
      <c r="G576" s="624"/>
      <c r="H576" s="669">
        <v>44837</v>
      </c>
      <c r="I576" s="617" t="s">
        <v>4877</v>
      </c>
      <c r="J576" s="617" t="s">
        <v>26</v>
      </c>
      <c r="K576" s="624"/>
      <c r="O576" s="616"/>
      <c r="P576" s="616"/>
      <c r="Q576" s="616"/>
      <c r="AA576" s="624"/>
      <c r="AB576" s="663">
        <v>39035136103</v>
      </c>
      <c r="AC576" s="663" t="s">
        <v>5508</v>
      </c>
      <c r="AD576" s="663" t="s">
        <v>4938</v>
      </c>
      <c r="AE576" s="663" t="s">
        <v>4934</v>
      </c>
      <c r="AF576" s="663" t="s">
        <v>4946</v>
      </c>
    </row>
    <row r="577" spans="1:32" s="608" customFormat="1" x14ac:dyDescent="0.25">
      <c r="A577" s="624"/>
      <c r="B577" s="617">
        <v>39035140100</v>
      </c>
      <c r="C577" s="617" t="s">
        <v>2245</v>
      </c>
      <c r="D577" s="617" t="s">
        <v>42</v>
      </c>
      <c r="E577" s="617" t="s">
        <v>4853</v>
      </c>
      <c r="F577" s="617" t="s">
        <v>26</v>
      </c>
      <c r="G577" s="624"/>
      <c r="H577" s="669">
        <v>44412</v>
      </c>
      <c r="I577" s="617" t="s">
        <v>4873</v>
      </c>
      <c r="J577" s="617" t="s">
        <v>26</v>
      </c>
      <c r="K577" s="624"/>
      <c r="O577" s="616"/>
      <c r="P577" s="616"/>
      <c r="Q577" s="616"/>
      <c r="AA577" s="624"/>
      <c r="AB577" s="663">
        <v>39035137101</v>
      </c>
      <c r="AC577" s="663" t="s">
        <v>5509</v>
      </c>
      <c r="AD577" s="663" t="s">
        <v>4950</v>
      </c>
      <c r="AE577" s="663" t="s">
        <v>4934</v>
      </c>
      <c r="AF577" s="663" t="s">
        <v>4946</v>
      </c>
    </row>
    <row r="578" spans="1:32" s="608" customFormat="1" x14ac:dyDescent="0.25">
      <c r="A578" s="624"/>
      <c r="B578" s="617">
        <v>39035140301</v>
      </c>
      <c r="C578" s="617" t="s">
        <v>2246</v>
      </c>
      <c r="D578" s="617" t="s">
        <v>42</v>
      </c>
      <c r="E578" s="617" t="s">
        <v>4853</v>
      </c>
      <c r="F578" s="617" t="s">
        <v>24</v>
      </c>
      <c r="G578" s="624"/>
      <c r="H578" s="669">
        <v>43766</v>
      </c>
      <c r="I578" s="617" t="s">
        <v>1675</v>
      </c>
      <c r="J578" s="617" t="s">
        <v>26</v>
      </c>
      <c r="K578" s="624"/>
      <c r="O578" s="616"/>
      <c r="P578" s="616"/>
      <c r="Q578" s="616"/>
      <c r="AA578" s="624"/>
      <c r="AB578" s="663">
        <v>39035137102</v>
      </c>
      <c r="AC578" s="663" t="s">
        <v>5510</v>
      </c>
      <c r="AD578" s="663" t="s">
        <v>4950</v>
      </c>
      <c r="AE578" s="663" t="s">
        <v>4934</v>
      </c>
      <c r="AF578" s="663" t="s">
        <v>4946</v>
      </c>
    </row>
    <row r="579" spans="1:32" s="608" customFormat="1" x14ac:dyDescent="0.25">
      <c r="A579" s="624"/>
      <c r="B579" s="617">
        <v>39035140302</v>
      </c>
      <c r="C579" s="617" t="s">
        <v>2247</v>
      </c>
      <c r="D579" s="617" t="s">
        <v>42</v>
      </c>
      <c r="E579" s="617" t="s">
        <v>4853</v>
      </c>
      <c r="F579" s="617" t="s">
        <v>26</v>
      </c>
      <c r="G579" s="624"/>
      <c r="H579" s="669">
        <v>45044</v>
      </c>
      <c r="I579" s="617" t="s">
        <v>4867</v>
      </c>
      <c r="J579" s="617" t="s">
        <v>26</v>
      </c>
      <c r="K579" s="624"/>
      <c r="O579" s="616"/>
      <c r="P579" s="616"/>
      <c r="Q579" s="616"/>
      <c r="AA579" s="624"/>
      <c r="AB579" s="663">
        <v>39035137103</v>
      </c>
      <c r="AC579" s="663" t="s">
        <v>5511</v>
      </c>
      <c r="AD579" s="663" t="s">
        <v>4941</v>
      </c>
      <c r="AE579" s="663" t="s">
        <v>4931</v>
      </c>
      <c r="AF579" s="663" t="s">
        <v>4946</v>
      </c>
    </row>
    <row r="580" spans="1:32" s="608" customFormat="1" x14ac:dyDescent="0.25">
      <c r="A580" s="624"/>
      <c r="B580" s="617">
        <v>39035140400</v>
      </c>
      <c r="C580" s="617" t="s">
        <v>2248</v>
      </c>
      <c r="D580" s="617" t="s">
        <v>42</v>
      </c>
      <c r="E580" s="617" t="s">
        <v>4853</v>
      </c>
      <c r="F580" s="617" t="s">
        <v>26</v>
      </c>
      <c r="G580" s="624"/>
      <c r="H580" s="669">
        <v>45030</v>
      </c>
      <c r="I580" s="617" t="s">
        <v>4867</v>
      </c>
      <c r="J580" s="617" t="s">
        <v>26</v>
      </c>
      <c r="K580" s="624"/>
      <c r="O580" s="616"/>
      <c r="P580" s="616"/>
      <c r="Q580" s="616"/>
      <c r="AA580" s="624"/>
      <c r="AB580" s="663">
        <v>39035138105</v>
      </c>
      <c r="AC580" s="663" t="s">
        <v>5512</v>
      </c>
      <c r="AD580" s="663" t="s">
        <v>4950</v>
      </c>
      <c r="AE580" s="663" t="s">
        <v>4931</v>
      </c>
      <c r="AF580" s="663" t="s">
        <v>4946</v>
      </c>
    </row>
    <row r="581" spans="1:32" s="608" customFormat="1" x14ac:dyDescent="0.25">
      <c r="A581" s="624"/>
      <c r="B581" s="617">
        <v>39035140500</v>
      </c>
      <c r="C581" s="617" t="s">
        <v>2249</v>
      </c>
      <c r="D581" s="617" t="s">
        <v>42</v>
      </c>
      <c r="E581" s="617" t="s">
        <v>4853</v>
      </c>
      <c r="F581" s="617" t="s">
        <v>26</v>
      </c>
      <c r="G581" s="624"/>
      <c r="H581" s="669">
        <v>41073</v>
      </c>
      <c r="I581" s="617" t="s">
        <v>4867</v>
      </c>
      <c r="J581" s="617" t="s">
        <v>26</v>
      </c>
      <c r="K581" s="624"/>
      <c r="O581" s="616"/>
      <c r="P581" s="616"/>
      <c r="Q581" s="616"/>
      <c r="AA581" s="624"/>
      <c r="AB581" s="663">
        <v>39035138106</v>
      </c>
      <c r="AC581" s="663" t="s">
        <v>5513</v>
      </c>
      <c r="AD581" s="663" t="s">
        <v>4950</v>
      </c>
      <c r="AE581" s="663" t="s">
        <v>4928</v>
      </c>
      <c r="AF581" s="663" t="s">
        <v>4946</v>
      </c>
    </row>
    <row r="582" spans="1:32" s="608" customFormat="1" x14ac:dyDescent="0.25">
      <c r="A582" s="624"/>
      <c r="B582" s="617">
        <v>39035140600</v>
      </c>
      <c r="C582" s="617" t="s">
        <v>2250</v>
      </c>
      <c r="D582" s="617" t="s">
        <v>42</v>
      </c>
      <c r="E582" s="617" t="s">
        <v>4853</v>
      </c>
      <c r="F582" s="617" t="s">
        <v>26</v>
      </c>
      <c r="G582" s="624"/>
      <c r="H582" s="669">
        <v>45064</v>
      </c>
      <c r="I582" s="617" t="s">
        <v>4867</v>
      </c>
      <c r="J582" s="617" t="s">
        <v>26</v>
      </c>
      <c r="K582" s="624"/>
      <c r="O582" s="616"/>
      <c r="P582" s="616"/>
      <c r="Q582" s="616"/>
      <c r="AA582" s="624"/>
      <c r="AB582" s="663">
        <v>39035138107</v>
      </c>
      <c r="AC582" s="663" t="s">
        <v>5514</v>
      </c>
      <c r="AD582" s="663" t="s">
        <v>4948</v>
      </c>
      <c r="AE582" s="663" t="s">
        <v>4928</v>
      </c>
      <c r="AF582" s="663" t="s">
        <v>4946</v>
      </c>
    </row>
    <row r="583" spans="1:32" s="608" customFormat="1" x14ac:dyDescent="0.25">
      <c r="A583" s="624"/>
      <c r="B583" s="617">
        <v>39035140701</v>
      </c>
      <c r="C583" s="617" t="s">
        <v>2251</v>
      </c>
      <c r="D583" s="617" t="s">
        <v>42</v>
      </c>
      <c r="E583" s="617" t="s">
        <v>4853</v>
      </c>
      <c r="F583" s="617" t="s">
        <v>24</v>
      </c>
      <c r="G583" s="624"/>
      <c r="H583" s="669">
        <v>45405</v>
      </c>
      <c r="I583" s="617" t="s">
        <v>4870</v>
      </c>
      <c r="J583" s="617" t="s">
        <v>26</v>
      </c>
      <c r="K583" s="624"/>
      <c r="O583" s="616"/>
      <c r="P583" s="616"/>
      <c r="Q583" s="616"/>
      <c r="AA583" s="624"/>
      <c r="AB583" s="663">
        <v>39035138108</v>
      </c>
      <c r="AC583" s="663" t="s">
        <v>5515</v>
      </c>
      <c r="AD583" s="663" t="s">
        <v>4948</v>
      </c>
      <c r="AE583" s="663" t="s">
        <v>4928</v>
      </c>
      <c r="AF583" s="663" t="s">
        <v>4946</v>
      </c>
    </row>
    <row r="584" spans="1:32" s="608" customFormat="1" x14ac:dyDescent="0.25">
      <c r="A584" s="624"/>
      <c r="B584" s="617">
        <v>39035140702</v>
      </c>
      <c r="C584" s="617" t="s">
        <v>2252</v>
      </c>
      <c r="D584" s="617" t="s">
        <v>42</v>
      </c>
      <c r="E584" s="617" t="s">
        <v>4853</v>
      </c>
      <c r="F584" s="617" t="s">
        <v>24</v>
      </c>
      <c r="G584" s="624"/>
      <c r="H584" s="669">
        <v>45419</v>
      </c>
      <c r="I584" s="617" t="s">
        <v>4870</v>
      </c>
      <c r="J584" s="617" t="s">
        <v>26</v>
      </c>
      <c r="K584" s="624"/>
      <c r="O584" s="616"/>
      <c r="P584" s="616"/>
      <c r="Q584" s="616"/>
      <c r="AA584" s="624"/>
      <c r="AB584" s="663">
        <v>39035138109</v>
      </c>
      <c r="AC584" s="663" t="s">
        <v>5516</v>
      </c>
      <c r="AD584" s="663" t="s">
        <v>4948</v>
      </c>
      <c r="AE584" s="663" t="s">
        <v>4934</v>
      </c>
      <c r="AF584" s="663" t="s">
        <v>4946</v>
      </c>
    </row>
    <row r="585" spans="1:32" s="608" customFormat="1" x14ac:dyDescent="0.25">
      <c r="A585" s="624"/>
      <c r="B585" s="617">
        <v>39035140800</v>
      </c>
      <c r="C585" s="617" t="s">
        <v>2253</v>
      </c>
      <c r="D585" s="617" t="s">
        <v>42</v>
      </c>
      <c r="E585" s="617" t="s">
        <v>4853</v>
      </c>
      <c r="F585" s="617" t="s">
        <v>26</v>
      </c>
      <c r="G585" s="624"/>
      <c r="H585" s="669">
        <v>45318</v>
      </c>
      <c r="I585" s="617" t="s">
        <v>4870</v>
      </c>
      <c r="J585" s="617" t="s">
        <v>26</v>
      </c>
      <c r="K585" s="624"/>
      <c r="O585" s="616"/>
      <c r="P585" s="616"/>
      <c r="Q585" s="616"/>
      <c r="AA585" s="624"/>
      <c r="AB585" s="663">
        <v>39035138110</v>
      </c>
      <c r="AC585" s="663" t="s">
        <v>5517</v>
      </c>
      <c r="AD585" s="663" t="s">
        <v>4948</v>
      </c>
      <c r="AE585" s="663" t="s">
        <v>4931</v>
      </c>
      <c r="AF585" s="663" t="s">
        <v>4946</v>
      </c>
    </row>
    <row r="586" spans="1:32" s="608" customFormat="1" x14ac:dyDescent="0.25">
      <c r="A586" s="624"/>
      <c r="B586" s="617">
        <v>39035140900</v>
      </c>
      <c r="C586" s="617" t="s">
        <v>2254</v>
      </c>
      <c r="D586" s="617" t="s">
        <v>42</v>
      </c>
      <c r="E586" s="617" t="s">
        <v>4853</v>
      </c>
      <c r="F586" s="617" t="s">
        <v>26</v>
      </c>
      <c r="G586" s="624"/>
      <c r="H586" s="669">
        <v>45315</v>
      </c>
      <c r="I586" s="617" t="s">
        <v>4870</v>
      </c>
      <c r="J586" s="617" t="s">
        <v>26</v>
      </c>
      <c r="K586" s="624"/>
      <c r="O586" s="616"/>
      <c r="P586" s="616"/>
      <c r="Q586" s="616"/>
      <c r="AA586" s="624"/>
      <c r="AB586" s="663">
        <v>39035140100</v>
      </c>
      <c r="AC586" s="663" t="s">
        <v>5518</v>
      </c>
      <c r="AD586" s="663" t="s">
        <v>4927</v>
      </c>
      <c r="AE586" s="663" t="s">
        <v>5006</v>
      </c>
      <c r="AF586" s="663" t="s">
        <v>4946</v>
      </c>
    </row>
    <row r="587" spans="1:32" s="608" customFormat="1" x14ac:dyDescent="0.25">
      <c r="A587" s="624"/>
      <c r="B587" s="617">
        <v>39035141000</v>
      </c>
      <c r="C587" s="617" t="s">
        <v>2255</v>
      </c>
      <c r="D587" s="617" t="s">
        <v>42</v>
      </c>
      <c r="E587" s="617" t="s">
        <v>4853</v>
      </c>
      <c r="F587" s="617" t="s">
        <v>24</v>
      </c>
      <c r="G587" s="624"/>
      <c r="H587" s="669">
        <v>45307</v>
      </c>
      <c r="I587" s="617" t="s">
        <v>4870</v>
      </c>
      <c r="J587" s="617" t="s">
        <v>26</v>
      </c>
      <c r="K587" s="624"/>
      <c r="O587" s="616"/>
      <c r="P587" s="616"/>
      <c r="Q587" s="616"/>
      <c r="AA587" s="624"/>
      <c r="AB587" s="663">
        <v>39035140301</v>
      </c>
      <c r="AC587" s="663" t="s">
        <v>5519</v>
      </c>
      <c r="AD587" s="663" t="s">
        <v>4927</v>
      </c>
      <c r="AE587" s="663" t="s">
        <v>4931</v>
      </c>
      <c r="AF587" s="663" t="s">
        <v>4946</v>
      </c>
    </row>
    <row r="588" spans="1:32" s="608" customFormat="1" x14ac:dyDescent="0.25">
      <c r="A588" s="624"/>
      <c r="B588" s="617">
        <v>39035141100</v>
      </c>
      <c r="C588" s="617" t="s">
        <v>2256</v>
      </c>
      <c r="D588" s="617" t="s">
        <v>42</v>
      </c>
      <c r="E588" s="617" t="s">
        <v>4853</v>
      </c>
      <c r="F588" s="617" t="s">
        <v>24</v>
      </c>
      <c r="G588" s="624"/>
      <c r="H588" s="669">
        <v>43457</v>
      </c>
      <c r="I588" s="617" t="s">
        <v>4872</v>
      </c>
      <c r="J588" s="617" t="s">
        <v>26</v>
      </c>
      <c r="K588" s="624"/>
      <c r="O588" s="616"/>
      <c r="P588" s="616"/>
      <c r="Q588" s="616"/>
      <c r="AA588" s="624"/>
      <c r="AB588" s="663">
        <v>39035140302</v>
      </c>
      <c r="AC588" s="663" t="s">
        <v>5520</v>
      </c>
      <c r="AD588" s="663" t="s">
        <v>4950</v>
      </c>
      <c r="AE588" s="663" t="s">
        <v>4939</v>
      </c>
      <c r="AF588" s="663" t="s">
        <v>4946</v>
      </c>
    </row>
    <row r="589" spans="1:32" s="608" customFormat="1" x14ac:dyDescent="0.25">
      <c r="A589" s="624"/>
      <c r="B589" s="617">
        <v>39035141200</v>
      </c>
      <c r="C589" s="617" t="s">
        <v>2257</v>
      </c>
      <c r="D589" s="617" t="s">
        <v>42</v>
      </c>
      <c r="E589" s="617" t="s">
        <v>4853</v>
      </c>
      <c r="F589" s="617" t="s">
        <v>26</v>
      </c>
      <c r="G589" s="624"/>
      <c r="H589" s="669">
        <v>43003</v>
      </c>
      <c r="I589" s="617" t="s">
        <v>4871</v>
      </c>
      <c r="J589" s="617" t="s">
        <v>26</v>
      </c>
      <c r="K589" s="624"/>
      <c r="O589" s="616"/>
      <c r="P589" s="616"/>
      <c r="Q589" s="616"/>
      <c r="AA589" s="624"/>
      <c r="AB589" s="663">
        <v>39035140400</v>
      </c>
      <c r="AC589" s="663" t="s">
        <v>5521</v>
      </c>
      <c r="AD589" s="663" t="s">
        <v>4927</v>
      </c>
      <c r="AE589" s="663" t="s">
        <v>4934</v>
      </c>
      <c r="AF589" s="663" t="s">
        <v>4946</v>
      </c>
    </row>
    <row r="590" spans="1:32" s="608" customFormat="1" x14ac:dyDescent="0.25">
      <c r="A590" s="624"/>
      <c r="B590" s="617">
        <v>39035141300</v>
      </c>
      <c r="C590" s="617" t="s">
        <v>2258</v>
      </c>
      <c r="D590" s="617" t="s">
        <v>42</v>
      </c>
      <c r="E590" s="617" t="s">
        <v>4853</v>
      </c>
      <c r="F590" s="617" t="s">
        <v>26</v>
      </c>
      <c r="G590" s="624"/>
      <c r="H590" s="669">
        <v>43137</v>
      </c>
      <c r="I590" s="617" t="s">
        <v>4871</v>
      </c>
      <c r="J590" s="617" t="s">
        <v>26</v>
      </c>
      <c r="K590" s="624"/>
      <c r="O590" s="616"/>
      <c r="P590" s="616"/>
      <c r="Q590" s="616"/>
      <c r="AA590" s="624"/>
      <c r="AB590" s="663">
        <v>39035140500</v>
      </c>
      <c r="AC590" s="663" t="s">
        <v>5522</v>
      </c>
      <c r="AD590" s="663" t="s">
        <v>4927</v>
      </c>
      <c r="AE590" s="663" t="s">
        <v>4928</v>
      </c>
      <c r="AF590" s="663" t="s">
        <v>4946</v>
      </c>
    </row>
    <row r="591" spans="1:32" s="608" customFormat="1" x14ac:dyDescent="0.25">
      <c r="A591" s="624"/>
      <c r="B591" s="617">
        <v>39035141400</v>
      </c>
      <c r="C591" s="617" t="s">
        <v>2259</v>
      </c>
      <c r="D591" s="617" t="s">
        <v>42</v>
      </c>
      <c r="E591" s="617" t="s">
        <v>4853</v>
      </c>
      <c r="F591" s="617" t="s">
        <v>26</v>
      </c>
      <c r="G591" s="624"/>
      <c r="H591" s="669">
        <v>43320</v>
      </c>
      <c r="I591" s="617" t="s">
        <v>4871</v>
      </c>
      <c r="J591" s="617" t="s">
        <v>26</v>
      </c>
      <c r="K591" s="624"/>
      <c r="O591" s="616"/>
      <c r="P591" s="616"/>
      <c r="Q591" s="616"/>
      <c r="AA591" s="624"/>
      <c r="AB591" s="663">
        <v>39035140600</v>
      </c>
      <c r="AC591" s="663" t="s">
        <v>5523</v>
      </c>
      <c r="AD591" s="663" t="s">
        <v>4948</v>
      </c>
      <c r="AE591" s="663" t="s">
        <v>4939</v>
      </c>
      <c r="AF591" s="663" t="s">
        <v>4946</v>
      </c>
    </row>
    <row r="592" spans="1:32" s="608" customFormat="1" x14ac:dyDescent="0.25">
      <c r="A592" s="624"/>
      <c r="B592" s="617">
        <v>39035141500</v>
      </c>
      <c r="C592" s="617" t="s">
        <v>2260</v>
      </c>
      <c r="D592" s="617" t="s">
        <v>42</v>
      </c>
      <c r="E592" s="617" t="s">
        <v>4853</v>
      </c>
      <c r="F592" s="617" t="s">
        <v>26</v>
      </c>
      <c r="G592" s="624"/>
      <c r="H592" s="669">
        <v>44615</v>
      </c>
      <c r="I592" s="617" t="s">
        <v>4874</v>
      </c>
      <c r="J592" s="617" t="s">
        <v>26</v>
      </c>
      <c r="K592" s="624"/>
      <c r="O592" s="616"/>
      <c r="P592" s="616"/>
      <c r="Q592" s="616"/>
      <c r="AA592" s="624"/>
      <c r="AB592" s="663">
        <v>39035140701</v>
      </c>
      <c r="AC592" s="663" t="s">
        <v>5524</v>
      </c>
      <c r="AD592" s="663" t="s">
        <v>4927</v>
      </c>
      <c r="AE592" s="663" t="s">
        <v>4928</v>
      </c>
      <c r="AF592" s="663" t="s">
        <v>4946</v>
      </c>
    </row>
    <row r="593" spans="1:32" s="608" customFormat="1" x14ac:dyDescent="0.25">
      <c r="A593" s="624"/>
      <c r="B593" s="617">
        <v>39035141601</v>
      </c>
      <c r="C593" s="617" t="s">
        <v>2261</v>
      </c>
      <c r="D593" s="617" t="s">
        <v>42</v>
      </c>
      <c r="E593" s="617" t="s">
        <v>4853</v>
      </c>
      <c r="F593" s="617" t="s">
        <v>26</v>
      </c>
      <c r="G593" s="624"/>
      <c r="H593" s="669">
        <v>44651</v>
      </c>
      <c r="I593" s="617" t="s">
        <v>4874</v>
      </c>
      <c r="J593" s="617" t="s">
        <v>26</v>
      </c>
      <c r="K593" s="624"/>
      <c r="O593" s="616"/>
      <c r="P593" s="616"/>
      <c r="Q593" s="616"/>
      <c r="AA593" s="624"/>
      <c r="AB593" s="663">
        <v>39035140702</v>
      </c>
      <c r="AC593" s="663" t="s">
        <v>5525</v>
      </c>
      <c r="AD593" s="663" t="s">
        <v>4927</v>
      </c>
      <c r="AE593" s="663" t="s">
        <v>4928</v>
      </c>
      <c r="AF593" s="663" t="s">
        <v>4946</v>
      </c>
    </row>
    <row r="594" spans="1:32" s="608" customFormat="1" x14ac:dyDescent="0.25">
      <c r="A594" s="624"/>
      <c r="B594" s="617">
        <v>39035141602</v>
      </c>
      <c r="C594" s="617" t="s">
        <v>2262</v>
      </c>
      <c r="D594" s="617" t="s">
        <v>42</v>
      </c>
      <c r="E594" s="617" t="s">
        <v>4853</v>
      </c>
      <c r="F594" s="617" t="s">
        <v>26</v>
      </c>
      <c r="G594" s="624"/>
      <c r="H594" s="669">
        <v>44689</v>
      </c>
      <c r="I594" s="617" t="s">
        <v>4874</v>
      </c>
      <c r="J594" s="617" t="s">
        <v>26</v>
      </c>
      <c r="K594" s="624"/>
      <c r="O594" s="616"/>
      <c r="P594" s="616"/>
      <c r="Q594" s="616"/>
      <c r="AA594" s="624"/>
      <c r="AB594" s="663">
        <v>39035140800</v>
      </c>
      <c r="AC594" s="663" t="s">
        <v>5526</v>
      </c>
      <c r="AD594" s="663" t="s">
        <v>4941</v>
      </c>
      <c r="AE594" s="663" t="s">
        <v>4934</v>
      </c>
      <c r="AF594" s="663" t="s">
        <v>4946</v>
      </c>
    </row>
    <row r="595" spans="1:32" s="608" customFormat="1" x14ac:dyDescent="0.25">
      <c r="A595" s="624"/>
      <c r="B595" s="617">
        <v>39035141700</v>
      </c>
      <c r="C595" s="617" t="s">
        <v>2263</v>
      </c>
      <c r="D595" s="617" t="s">
        <v>42</v>
      </c>
      <c r="E595" s="617" t="s">
        <v>4853</v>
      </c>
      <c r="F595" s="617" t="s">
        <v>26</v>
      </c>
      <c r="G595" s="624"/>
      <c r="H595" s="669">
        <v>44024</v>
      </c>
      <c r="I595" s="617" t="s">
        <v>4869</v>
      </c>
      <c r="J595" s="617" t="s">
        <v>26</v>
      </c>
      <c r="K595" s="624"/>
      <c r="O595" s="616"/>
      <c r="P595" s="616"/>
      <c r="Q595" s="616"/>
      <c r="AA595" s="624"/>
      <c r="AB595" s="663">
        <v>39035140900</v>
      </c>
      <c r="AC595" s="663" t="s">
        <v>5527</v>
      </c>
      <c r="AD595" s="663" t="s">
        <v>4948</v>
      </c>
      <c r="AE595" s="663" t="s">
        <v>4942</v>
      </c>
      <c r="AF595" s="663" t="s">
        <v>4946</v>
      </c>
    </row>
    <row r="596" spans="1:32" s="608" customFormat="1" x14ac:dyDescent="0.25">
      <c r="A596" s="624"/>
      <c r="B596" s="617">
        <v>39035150100</v>
      </c>
      <c r="C596" s="617" t="s">
        <v>2264</v>
      </c>
      <c r="D596" s="617" t="s">
        <v>42</v>
      </c>
      <c r="E596" s="617" t="s">
        <v>4853</v>
      </c>
      <c r="F596" s="617" t="s">
        <v>24</v>
      </c>
      <c r="G596" s="624"/>
      <c r="H596" s="669">
        <v>44144</v>
      </c>
      <c r="I596" s="617" t="s">
        <v>4869</v>
      </c>
      <c r="J596" s="617" t="s">
        <v>26</v>
      </c>
      <c r="K596" s="624"/>
      <c r="O596" s="616"/>
      <c r="P596" s="616"/>
      <c r="Q596" s="616"/>
      <c r="AA596" s="624"/>
      <c r="AB596" s="663">
        <v>39035141000</v>
      </c>
      <c r="AC596" s="663" t="s">
        <v>5528</v>
      </c>
      <c r="AD596" s="663" t="s">
        <v>4927</v>
      </c>
      <c r="AE596" s="663" t="s">
        <v>4934</v>
      </c>
      <c r="AF596" s="663" t="s">
        <v>4946</v>
      </c>
    </row>
    <row r="597" spans="1:32" s="608" customFormat="1" x14ac:dyDescent="0.25">
      <c r="A597" s="624"/>
      <c r="B597" s="617">
        <v>39035150300</v>
      </c>
      <c r="C597" s="617" t="s">
        <v>2265</v>
      </c>
      <c r="D597" s="617" t="s">
        <v>42</v>
      </c>
      <c r="E597" s="617" t="s">
        <v>4853</v>
      </c>
      <c r="F597" s="617" t="s">
        <v>24</v>
      </c>
      <c r="G597" s="624"/>
      <c r="H597" s="669">
        <v>44090</v>
      </c>
      <c r="I597" s="617" t="s">
        <v>4869</v>
      </c>
      <c r="J597" s="617" t="s">
        <v>26</v>
      </c>
      <c r="K597" s="624"/>
      <c r="O597" s="616"/>
      <c r="P597" s="616"/>
      <c r="Q597" s="616"/>
      <c r="AA597" s="624"/>
      <c r="AB597" s="663">
        <v>39035141100</v>
      </c>
      <c r="AC597" s="663" t="s">
        <v>5529</v>
      </c>
      <c r="AD597" s="663" t="s">
        <v>4948</v>
      </c>
      <c r="AE597" s="663" t="s">
        <v>4934</v>
      </c>
      <c r="AF597" s="663" t="s">
        <v>4946</v>
      </c>
    </row>
    <row r="598" spans="1:32" s="608" customFormat="1" x14ac:dyDescent="0.25">
      <c r="A598" s="624"/>
      <c r="B598" s="617">
        <v>39035150400</v>
      </c>
      <c r="C598" s="617" t="s">
        <v>2266</v>
      </c>
      <c r="D598" s="617" t="s">
        <v>42</v>
      </c>
      <c r="E598" s="617" t="s">
        <v>4853</v>
      </c>
      <c r="F598" s="617" t="s">
        <v>24</v>
      </c>
      <c r="G598" s="624"/>
      <c r="H598" s="669">
        <v>44234</v>
      </c>
      <c r="I598" s="617" t="s">
        <v>4869</v>
      </c>
      <c r="J598" s="617" t="s">
        <v>26</v>
      </c>
      <c r="K598" s="624"/>
      <c r="O598" s="616"/>
      <c r="P598" s="616"/>
      <c r="Q598" s="616"/>
      <c r="AA598" s="624"/>
      <c r="AB598" s="663">
        <v>39035141200</v>
      </c>
      <c r="AC598" s="663" t="s">
        <v>5530</v>
      </c>
      <c r="AD598" s="663" t="s">
        <v>4938</v>
      </c>
      <c r="AE598" s="663" t="s">
        <v>4939</v>
      </c>
      <c r="AF598" s="663" t="s">
        <v>4946</v>
      </c>
    </row>
    <row r="599" spans="1:32" s="608" customFormat="1" x14ac:dyDescent="0.25">
      <c r="A599" s="624"/>
      <c r="B599" s="617">
        <v>39035151200</v>
      </c>
      <c r="C599" s="617" t="s">
        <v>2267</v>
      </c>
      <c r="D599" s="617" t="s">
        <v>42</v>
      </c>
      <c r="E599" s="617" t="s">
        <v>4853</v>
      </c>
      <c r="F599" s="617" t="s">
        <v>24</v>
      </c>
      <c r="G599" s="624"/>
      <c r="H599" s="669">
        <v>44080</v>
      </c>
      <c r="I599" s="617" t="s">
        <v>4869</v>
      </c>
      <c r="J599" s="617" t="s">
        <v>26</v>
      </c>
      <c r="K599" s="624"/>
      <c r="O599" s="616"/>
      <c r="P599" s="616"/>
      <c r="Q599" s="616"/>
      <c r="AA599" s="624"/>
      <c r="AB599" s="663">
        <v>39035141300</v>
      </c>
      <c r="AC599" s="663" t="s">
        <v>5531</v>
      </c>
      <c r="AD599" s="663" t="s">
        <v>4938</v>
      </c>
      <c r="AE599" s="663" t="s">
        <v>4934</v>
      </c>
      <c r="AF599" s="663" t="s">
        <v>4946</v>
      </c>
    </row>
    <row r="600" spans="1:32" s="608" customFormat="1" x14ac:dyDescent="0.25">
      <c r="A600" s="624"/>
      <c r="B600" s="617">
        <v>39035151300</v>
      </c>
      <c r="C600" s="617" t="s">
        <v>2268</v>
      </c>
      <c r="D600" s="617" t="s">
        <v>42</v>
      </c>
      <c r="E600" s="617" t="s">
        <v>4853</v>
      </c>
      <c r="F600" s="617" t="s">
        <v>24</v>
      </c>
      <c r="G600" s="624"/>
      <c r="H600" s="669">
        <v>44506</v>
      </c>
      <c r="I600" s="617" t="s">
        <v>4873</v>
      </c>
      <c r="J600" s="617" t="s">
        <v>26</v>
      </c>
      <c r="K600" s="624"/>
      <c r="O600" s="616"/>
      <c r="P600" s="616"/>
      <c r="Q600" s="616"/>
      <c r="AA600" s="624"/>
      <c r="AB600" s="663">
        <v>39035141400</v>
      </c>
      <c r="AC600" s="663" t="s">
        <v>5532</v>
      </c>
      <c r="AD600" s="663" t="s">
        <v>4938</v>
      </c>
      <c r="AE600" s="663" t="s">
        <v>4931</v>
      </c>
      <c r="AF600" s="663" t="s">
        <v>4946</v>
      </c>
    </row>
    <row r="601" spans="1:32" s="608" customFormat="1" x14ac:dyDescent="0.25">
      <c r="A601" s="624"/>
      <c r="B601" s="617">
        <v>39035151500</v>
      </c>
      <c r="C601" s="617" t="s">
        <v>2269</v>
      </c>
      <c r="D601" s="617" t="s">
        <v>42</v>
      </c>
      <c r="E601" s="617" t="s">
        <v>4853</v>
      </c>
      <c r="F601" s="617" t="s">
        <v>24</v>
      </c>
      <c r="G601" s="624"/>
      <c r="H601" s="669">
        <v>45820</v>
      </c>
      <c r="I601" s="617" t="s">
        <v>4875</v>
      </c>
      <c r="J601" s="617" t="s">
        <v>26</v>
      </c>
      <c r="K601" s="624"/>
      <c r="O601" s="616"/>
      <c r="P601" s="616"/>
      <c r="Q601" s="616"/>
      <c r="AA601" s="624"/>
      <c r="AB601" s="663">
        <v>39035141500</v>
      </c>
      <c r="AC601" s="663" t="s">
        <v>5533</v>
      </c>
      <c r="AD601" s="663" t="s">
        <v>4941</v>
      </c>
      <c r="AE601" s="663" t="s">
        <v>4934</v>
      </c>
      <c r="AF601" s="663" t="s">
        <v>4946</v>
      </c>
    </row>
    <row r="602" spans="1:32" s="608" customFormat="1" x14ac:dyDescent="0.25">
      <c r="A602" s="624"/>
      <c r="B602" s="617">
        <v>39035151600</v>
      </c>
      <c r="C602" s="617" t="s">
        <v>2270</v>
      </c>
      <c r="D602" s="617" t="s">
        <v>42</v>
      </c>
      <c r="E602" s="617" t="s">
        <v>4853</v>
      </c>
      <c r="F602" s="617" t="s">
        <v>24</v>
      </c>
      <c r="G602" s="624"/>
      <c r="H602" s="669">
        <v>45732</v>
      </c>
      <c r="I602" s="617" t="s">
        <v>1677</v>
      </c>
      <c r="J602" s="617" t="s">
        <v>26</v>
      </c>
      <c r="K602" s="624"/>
      <c r="O602" s="616"/>
      <c r="P602" s="616"/>
      <c r="Q602" s="616"/>
      <c r="AA602" s="624"/>
      <c r="AB602" s="663">
        <v>39035141601</v>
      </c>
      <c r="AC602" s="663" t="s">
        <v>5534</v>
      </c>
      <c r="AD602" s="663" t="s">
        <v>4938</v>
      </c>
      <c r="AE602" s="663" t="s">
        <v>4939</v>
      </c>
      <c r="AF602" s="663" t="s">
        <v>4946</v>
      </c>
    </row>
    <row r="603" spans="1:32" s="608" customFormat="1" x14ac:dyDescent="0.25">
      <c r="A603" s="624"/>
      <c r="B603" s="617">
        <v>39035151700</v>
      </c>
      <c r="C603" s="617" t="s">
        <v>2271</v>
      </c>
      <c r="D603" s="617" t="s">
        <v>42</v>
      </c>
      <c r="E603" s="617" t="s">
        <v>4853</v>
      </c>
      <c r="F603" s="617" t="s">
        <v>24</v>
      </c>
      <c r="G603" s="624"/>
      <c r="H603" s="669">
        <v>43761</v>
      </c>
      <c r="I603" s="617" t="s">
        <v>1677</v>
      </c>
      <c r="J603" s="617" t="s">
        <v>26</v>
      </c>
      <c r="K603" s="624"/>
      <c r="O603" s="616"/>
      <c r="P603" s="616"/>
      <c r="Q603" s="616"/>
      <c r="AA603" s="624"/>
      <c r="AB603" s="663">
        <v>39035141602</v>
      </c>
      <c r="AC603" s="663" t="s">
        <v>5535</v>
      </c>
      <c r="AD603" s="663" t="s">
        <v>4948</v>
      </c>
      <c r="AE603" s="663" t="s">
        <v>4942</v>
      </c>
      <c r="AF603" s="663" t="s">
        <v>4946</v>
      </c>
    </row>
    <row r="604" spans="1:32" s="608" customFormat="1" x14ac:dyDescent="0.25">
      <c r="A604" s="624"/>
      <c r="B604" s="617">
        <v>39035151800</v>
      </c>
      <c r="C604" s="617" t="s">
        <v>2272</v>
      </c>
      <c r="D604" s="617" t="s">
        <v>42</v>
      </c>
      <c r="E604" s="617" t="s">
        <v>4853</v>
      </c>
      <c r="F604" s="617" t="s">
        <v>24</v>
      </c>
      <c r="G604" s="624"/>
      <c r="H604" s="669">
        <v>41071</v>
      </c>
      <c r="I604" s="617" t="s">
        <v>4867</v>
      </c>
      <c r="J604" s="617" t="s">
        <v>26</v>
      </c>
      <c r="K604" s="624"/>
      <c r="O604" s="616"/>
      <c r="P604" s="616"/>
      <c r="Q604" s="616"/>
      <c r="AA604" s="624"/>
      <c r="AB604" s="663">
        <v>39035141700</v>
      </c>
      <c r="AC604" s="663" t="s">
        <v>5536</v>
      </c>
      <c r="AD604" s="663" t="s">
        <v>4938</v>
      </c>
      <c r="AE604" s="663" t="s">
        <v>4931</v>
      </c>
      <c r="AF604" s="663" t="s">
        <v>4946</v>
      </c>
    </row>
    <row r="605" spans="1:32" s="608" customFormat="1" x14ac:dyDescent="0.25">
      <c r="A605" s="624"/>
      <c r="B605" s="617">
        <v>39035152101</v>
      </c>
      <c r="C605" s="617" t="s">
        <v>2273</v>
      </c>
      <c r="D605" s="617" t="s">
        <v>42</v>
      </c>
      <c r="E605" s="617" t="s">
        <v>4853</v>
      </c>
      <c r="F605" s="617" t="s">
        <v>26</v>
      </c>
      <c r="G605" s="624"/>
      <c r="H605" s="669">
        <v>45216</v>
      </c>
      <c r="I605" s="617" t="s">
        <v>4867</v>
      </c>
      <c r="J605" s="617" t="s">
        <v>26</v>
      </c>
      <c r="K605" s="624"/>
      <c r="O605" s="616"/>
      <c r="P605" s="616"/>
      <c r="Q605" s="616"/>
      <c r="AA605" s="624"/>
      <c r="AB605" s="663">
        <v>39035150100</v>
      </c>
      <c r="AC605" s="663" t="s">
        <v>5537</v>
      </c>
      <c r="AD605" s="663" t="s">
        <v>4927</v>
      </c>
      <c r="AE605" s="663" t="s">
        <v>4928</v>
      </c>
      <c r="AF605" s="663" t="s">
        <v>4946</v>
      </c>
    </row>
    <row r="606" spans="1:32" s="608" customFormat="1" x14ac:dyDescent="0.25">
      <c r="A606" s="624"/>
      <c r="B606" s="617">
        <v>39035152102</v>
      </c>
      <c r="C606" s="617" t="s">
        <v>2274</v>
      </c>
      <c r="D606" s="617" t="s">
        <v>42</v>
      </c>
      <c r="E606" s="617" t="s">
        <v>4853</v>
      </c>
      <c r="F606" s="617" t="s">
        <v>26</v>
      </c>
      <c r="G606" s="624"/>
      <c r="H606" s="669">
        <v>47031</v>
      </c>
      <c r="I606" s="617" t="s">
        <v>4867</v>
      </c>
      <c r="J606" s="617" t="s">
        <v>26</v>
      </c>
      <c r="K606" s="624"/>
      <c r="O606" s="616"/>
      <c r="P606" s="616"/>
      <c r="Q606" s="616"/>
      <c r="AA606" s="624"/>
      <c r="AB606" s="663">
        <v>39035150300</v>
      </c>
      <c r="AC606" s="663" t="s">
        <v>5538</v>
      </c>
      <c r="AD606" s="663" t="s">
        <v>4927</v>
      </c>
      <c r="AE606" s="663" t="s">
        <v>4934</v>
      </c>
      <c r="AF606" s="663" t="s">
        <v>4946</v>
      </c>
    </row>
    <row r="607" spans="1:32" s="608" customFormat="1" x14ac:dyDescent="0.25">
      <c r="A607" s="624"/>
      <c r="B607" s="617">
        <v>39035152201</v>
      </c>
      <c r="C607" s="617" t="s">
        <v>2275</v>
      </c>
      <c r="D607" s="617" t="s">
        <v>42</v>
      </c>
      <c r="E607" s="617" t="s">
        <v>4853</v>
      </c>
      <c r="F607" s="617" t="s">
        <v>24</v>
      </c>
      <c r="G607" s="624"/>
      <c r="H607" s="669">
        <v>45414</v>
      </c>
      <c r="I607" s="617" t="s">
        <v>4870</v>
      </c>
      <c r="J607" s="617" t="s">
        <v>26</v>
      </c>
      <c r="K607" s="624"/>
      <c r="O607" s="616"/>
      <c r="P607" s="616"/>
      <c r="Q607" s="616"/>
      <c r="AA607" s="624"/>
      <c r="AB607" s="663">
        <v>39035150400</v>
      </c>
      <c r="AC607" s="663" t="s">
        <v>5539</v>
      </c>
      <c r="AD607" s="663" t="s">
        <v>4927</v>
      </c>
      <c r="AE607" s="663" t="s">
        <v>4931</v>
      </c>
      <c r="AF607" s="663" t="s">
        <v>4946</v>
      </c>
    </row>
    <row r="608" spans="1:32" s="608" customFormat="1" x14ac:dyDescent="0.25">
      <c r="A608" s="624"/>
      <c r="B608" s="617">
        <v>39035152202</v>
      </c>
      <c r="C608" s="617" t="s">
        <v>2276</v>
      </c>
      <c r="D608" s="617" t="s">
        <v>42</v>
      </c>
      <c r="E608" s="617" t="s">
        <v>4853</v>
      </c>
      <c r="F608" s="617" t="s">
        <v>26</v>
      </c>
      <c r="G608" s="624"/>
      <c r="H608" s="669">
        <v>45308</v>
      </c>
      <c r="I608" s="617" t="s">
        <v>4870</v>
      </c>
      <c r="J608" s="617" t="s">
        <v>26</v>
      </c>
      <c r="K608" s="624"/>
      <c r="O608" s="616"/>
      <c r="P608" s="616"/>
      <c r="Q608" s="616"/>
      <c r="AA608" s="624"/>
      <c r="AB608" s="663">
        <v>39035151100</v>
      </c>
      <c r="AC608" s="663" t="s">
        <v>5540</v>
      </c>
      <c r="AD608" s="663" t="s">
        <v>4927</v>
      </c>
      <c r="AE608" s="663" t="s">
        <v>4928</v>
      </c>
      <c r="AF608" s="663" t="s">
        <v>4946</v>
      </c>
    </row>
    <row r="609" spans="1:32" s="608" customFormat="1" x14ac:dyDescent="0.25">
      <c r="A609" s="624"/>
      <c r="B609" s="617">
        <v>39035152301</v>
      </c>
      <c r="C609" s="617" t="s">
        <v>2277</v>
      </c>
      <c r="D609" s="617" t="s">
        <v>42</v>
      </c>
      <c r="E609" s="617" t="s">
        <v>4853</v>
      </c>
      <c r="F609" s="617" t="s">
        <v>26</v>
      </c>
      <c r="G609" s="624"/>
      <c r="H609" s="669">
        <v>43113</v>
      </c>
      <c r="I609" s="617" t="s">
        <v>4871</v>
      </c>
      <c r="J609" s="617" t="s">
        <v>26</v>
      </c>
      <c r="K609" s="624"/>
      <c r="O609" s="616"/>
      <c r="P609" s="616"/>
      <c r="Q609" s="616"/>
      <c r="AA609" s="624"/>
      <c r="AB609" s="663">
        <v>39035151200</v>
      </c>
      <c r="AC609" s="663" t="s">
        <v>5541</v>
      </c>
      <c r="AD609" s="663" t="s">
        <v>4927</v>
      </c>
      <c r="AE609" s="663" t="s">
        <v>4934</v>
      </c>
      <c r="AF609" s="663" t="s">
        <v>4946</v>
      </c>
    </row>
    <row r="610" spans="1:32" s="608" customFormat="1" x14ac:dyDescent="0.25">
      <c r="A610" s="624"/>
      <c r="B610" s="617">
        <v>39035152302</v>
      </c>
      <c r="C610" s="617" t="s">
        <v>2278</v>
      </c>
      <c r="D610" s="617" t="s">
        <v>42</v>
      </c>
      <c r="E610" s="617" t="s">
        <v>4853</v>
      </c>
      <c r="F610" s="617" t="s">
        <v>26</v>
      </c>
      <c r="G610" s="624"/>
      <c r="H610" s="669">
        <v>43148</v>
      </c>
      <c r="I610" s="617" t="s">
        <v>4871</v>
      </c>
      <c r="J610" s="617" t="s">
        <v>26</v>
      </c>
      <c r="K610" s="624"/>
      <c r="O610" s="616"/>
      <c r="P610" s="616"/>
      <c r="Q610" s="616"/>
      <c r="AA610" s="624"/>
      <c r="AB610" s="663">
        <v>39035151300</v>
      </c>
      <c r="AC610" s="663" t="s">
        <v>5542</v>
      </c>
      <c r="AD610" s="663" t="s">
        <v>4927</v>
      </c>
      <c r="AE610" s="663" t="s">
        <v>4928</v>
      </c>
      <c r="AF610" s="663" t="s">
        <v>4946</v>
      </c>
    </row>
    <row r="611" spans="1:32" s="608" customFormat="1" x14ac:dyDescent="0.25">
      <c r="A611" s="624"/>
      <c r="B611" s="617">
        <v>39035152303</v>
      </c>
      <c r="C611" s="617" t="s">
        <v>2279</v>
      </c>
      <c r="D611" s="617" t="s">
        <v>42</v>
      </c>
      <c r="E611" s="617" t="s">
        <v>4853</v>
      </c>
      <c r="F611" s="617" t="s">
        <v>26</v>
      </c>
      <c r="G611" s="624"/>
      <c r="H611" s="669">
        <v>43145</v>
      </c>
      <c r="I611" s="617" t="s">
        <v>4871</v>
      </c>
      <c r="J611" s="617" t="s">
        <v>26</v>
      </c>
      <c r="K611" s="624"/>
      <c r="O611" s="616"/>
      <c r="P611" s="616"/>
      <c r="Q611" s="616"/>
      <c r="AA611" s="624"/>
      <c r="AB611" s="663">
        <v>39035151400</v>
      </c>
      <c r="AC611" s="663" t="s">
        <v>5543</v>
      </c>
      <c r="AD611" s="663" t="s">
        <v>4927</v>
      </c>
      <c r="AE611" s="663" t="s">
        <v>4942</v>
      </c>
      <c r="AF611" s="663" t="s">
        <v>4946</v>
      </c>
    </row>
    <row r="612" spans="1:32" s="608" customFormat="1" x14ac:dyDescent="0.25">
      <c r="A612" s="624"/>
      <c r="B612" s="617">
        <v>39035152400</v>
      </c>
      <c r="C612" s="617" t="s">
        <v>2280</v>
      </c>
      <c r="D612" s="617" t="s">
        <v>42</v>
      </c>
      <c r="E612" s="617" t="s">
        <v>4853</v>
      </c>
      <c r="F612" s="617" t="s">
        <v>24</v>
      </c>
      <c r="G612" s="624"/>
      <c r="H612" s="669">
        <v>44231</v>
      </c>
      <c r="I612" s="617" t="s">
        <v>4868</v>
      </c>
      <c r="J612" s="617" t="s">
        <v>26</v>
      </c>
      <c r="K612" s="624"/>
      <c r="O612" s="616"/>
      <c r="P612" s="616"/>
      <c r="Q612" s="616"/>
      <c r="AA612" s="624"/>
      <c r="AB612" s="663">
        <v>39035151500</v>
      </c>
      <c r="AC612" s="663" t="s">
        <v>5544</v>
      </c>
      <c r="AD612" s="663" t="s">
        <v>4927</v>
      </c>
      <c r="AE612" s="663" t="s">
        <v>4928</v>
      </c>
      <c r="AF612" s="663" t="s">
        <v>4946</v>
      </c>
    </row>
    <row r="613" spans="1:32" s="608" customFormat="1" x14ac:dyDescent="0.25">
      <c r="A613" s="624"/>
      <c r="B613" s="617">
        <v>39035152501</v>
      </c>
      <c r="C613" s="617" t="s">
        <v>2281</v>
      </c>
      <c r="D613" s="617" t="s">
        <v>42</v>
      </c>
      <c r="E613" s="617" t="s">
        <v>4853</v>
      </c>
      <c r="F613" s="617" t="s">
        <v>24</v>
      </c>
      <c r="G613" s="624"/>
      <c r="H613" s="669">
        <v>44307</v>
      </c>
      <c r="I613" s="617" t="s">
        <v>4868</v>
      </c>
      <c r="J613" s="617" t="s">
        <v>26</v>
      </c>
      <c r="K613" s="624"/>
      <c r="O613" s="616"/>
      <c r="P613" s="616"/>
      <c r="Q613" s="616"/>
      <c r="AA613" s="624"/>
      <c r="AB613" s="663">
        <v>39035151600</v>
      </c>
      <c r="AC613" s="663" t="s">
        <v>5545</v>
      </c>
      <c r="AD613" s="663" t="s">
        <v>4927</v>
      </c>
      <c r="AE613" s="663" t="s">
        <v>4942</v>
      </c>
      <c r="AF613" s="663" t="s">
        <v>4946</v>
      </c>
    </row>
    <row r="614" spans="1:32" s="608" customFormat="1" x14ac:dyDescent="0.25">
      <c r="A614" s="624"/>
      <c r="B614" s="617">
        <v>39035152502</v>
      </c>
      <c r="C614" s="617" t="s">
        <v>2282</v>
      </c>
      <c r="D614" s="617" t="s">
        <v>42</v>
      </c>
      <c r="E614" s="617" t="s">
        <v>4853</v>
      </c>
      <c r="F614" s="617" t="s">
        <v>26</v>
      </c>
      <c r="G614" s="624"/>
      <c r="H614" s="669">
        <v>44449</v>
      </c>
      <c r="I614" s="617" t="s">
        <v>4868</v>
      </c>
      <c r="J614" s="617" t="s">
        <v>26</v>
      </c>
      <c r="K614" s="624"/>
      <c r="O614" s="616"/>
      <c r="P614" s="616"/>
      <c r="Q614" s="616"/>
      <c r="AA614" s="624"/>
      <c r="AB614" s="663">
        <v>39035151700</v>
      </c>
      <c r="AC614" s="663" t="s">
        <v>5546</v>
      </c>
      <c r="AD614" s="663" t="s">
        <v>4927</v>
      </c>
      <c r="AE614" s="663" t="s">
        <v>4934</v>
      </c>
      <c r="AF614" s="663" t="s">
        <v>4946</v>
      </c>
    </row>
    <row r="615" spans="1:32" s="608" customFormat="1" x14ac:dyDescent="0.25">
      <c r="A615" s="624"/>
      <c r="B615" s="617">
        <v>39035152605</v>
      </c>
      <c r="C615" s="617" t="s">
        <v>2283</v>
      </c>
      <c r="D615" s="617" t="s">
        <v>42</v>
      </c>
      <c r="E615" s="617" t="s">
        <v>4853</v>
      </c>
      <c r="F615" s="617" t="s">
        <v>24</v>
      </c>
      <c r="G615" s="624"/>
      <c r="H615" s="669">
        <v>43460</v>
      </c>
      <c r="I615" s="617" t="s">
        <v>4872</v>
      </c>
      <c r="J615" s="617" t="s">
        <v>26</v>
      </c>
      <c r="K615" s="624"/>
      <c r="O615" s="616"/>
      <c r="P615" s="616"/>
      <c r="Q615" s="616"/>
      <c r="AA615" s="624"/>
      <c r="AB615" s="663">
        <v>39035151800</v>
      </c>
      <c r="AC615" s="663" t="s">
        <v>5547</v>
      </c>
      <c r="AD615" s="663" t="s">
        <v>4927</v>
      </c>
      <c r="AE615" s="663" t="s">
        <v>4928</v>
      </c>
      <c r="AF615" s="663" t="s">
        <v>4946</v>
      </c>
    </row>
    <row r="616" spans="1:32" s="608" customFormat="1" x14ac:dyDescent="0.25">
      <c r="A616" s="624"/>
      <c r="B616" s="617">
        <v>39035152701</v>
      </c>
      <c r="C616" s="617" t="s">
        <v>2284</v>
      </c>
      <c r="D616" s="617" t="s">
        <v>42</v>
      </c>
      <c r="E616" s="617" t="s">
        <v>4853</v>
      </c>
      <c r="F616" s="617" t="s">
        <v>24</v>
      </c>
      <c r="G616" s="624"/>
      <c r="H616" s="669">
        <v>45872</v>
      </c>
      <c r="I616" s="617" t="s">
        <v>4872</v>
      </c>
      <c r="J616" s="617" t="s">
        <v>26</v>
      </c>
      <c r="K616" s="624"/>
      <c r="O616" s="616"/>
      <c r="P616" s="616"/>
      <c r="Q616" s="616"/>
      <c r="AA616" s="624"/>
      <c r="AB616" s="663">
        <v>39035152101</v>
      </c>
      <c r="AC616" s="663" t="s">
        <v>5548</v>
      </c>
      <c r="AD616" s="663" t="s">
        <v>4941</v>
      </c>
      <c r="AE616" s="663" t="s">
        <v>4934</v>
      </c>
      <c r="AF616" s="663" t="s">
        <v>4946</v>
      </c>
    </row>
    <row r="617" spans="1:32" s="608" customFormat="1" x14ac:dyDescent="0.25">
      <c r="A617" s="624"/>
      <c r="B617" s="617">
        <v>39035152702</v>
      </c>
      <c r="C617" s="617" t="s">
        <v>2285</v>
      </c>
      <c r="D617" s="617" t="s">
        <v>42</v>
      </c>
      <c r="E617" s="617" t="s">
        <v>4853</v>
      </c>
      <c r="F617" s="617" t="s">
        <v>26</v>
      </c>
      <c r="G617" s="624"/>
      <c r="H617" s="669">
        <v>44049</v>
      </c>
      <c r="I617" s="617" t="s">
        <v>4869</v>
      </c>
      <c r="J617" s="617" t="s">
        <v>26</v>
      </c>
      <c r="K617" s="624"/>
      <c r="O617" s="616"/>
      <c r="P617" s="616"/>
      <c r="Q617" s="616"/>
      <c r="AA617" s="624"/>
      <c r="AB617" s="663">
        <v>39035152102</v>
      </c>
      <c r="AC617" s="663" t="s">
        <v>5549</v>
      </c>
      <c r="AD617" s="663" t="s">
        <v>4950</v>
      </c>
      <c r="AE617" s="663" t="s">
        <v>4942</v>
      </c>
      <c r="AF617" s="663" t="s">
        <v>4946</v>
      </c>
    </row>
    <row r="618" spans="1:32" s="608" customFormat="1" x14ac:dyDescent="0.25">
      <c r="A618" s="624"/>
      <c r="B618" s="617">
        <v>39035152703</v>
      </c>
      <c r="C618" s="617" t="s">
        <v>2286</v>
      </c>
      <c r="D618" s="617" t="s">
        <v>42</v>
      </c>
      <c r="E618" s="617" t="s">
        <v>4853</v>
      </c>
      <c r="F618" s="617" t="s">
        <v>26</v>
      </c>
      <c r="G618" s="624"/>
      <c r="H618" s="669">
        <v>44601</v>
      </c>
      <c r="I618" s="617" t="s">
        <v>4874</v>
      </c>
      <c r="J618" s="617" t="s">
        <v>26</v>
      </c>
      <c r="K618" s="624"/>
      <c r="O618" s="616"/>
      <c r="P618" s="616"/>
      <c r="Q618" s="616"/>
      <c r="AA618" s="624"/>
      <c r="AB618" s="663">
        <v>39035152201</v>
      </c>
      <c r="AC618" s="663" t="s">
        <v>5550</v>
      </c>
      <c r="AD618" s="663" t="s">
        <v>4927</v>
      </c>
      <c r="AE618" s="663" t="s">
        <v>4928</v>
      </c>
      <c r="AF618" s="663" t="s">
        <v>4946</v>
      </c>
    </row>
    <row r="619" spans="1:32" s="608" customFormat="1" x14ac:dyDescent="0.25">
      <c r="A619" s="624"/>
      <c r="B619" s="617">
        <v>39035153103</v>
      </c>
      <c r="C619" s="617" t="s">
        <v>2287</v>
      </c>
      <c r="D619" s="617" t="s">
        <v>42</v>
      </c>
      <c r="E619" s="617" t="s">
        <v>4853</v>
      </c>
      <c r="F619" s="617" t="s">
        <v>26</v>
      </c>
      <c r="G619" s="624"/>
      <c r="H619" s="669">
        <v>44709</v>
      </c>
      <c r="I619" s="617" t="s">
        <v>4874</v>
      </c>
      <c r="J619" s="617" t="s">
        <v>26</v>
      </c>
      <c r="K619" s="624"/>
      <c r="O619" s="616"/>
      <c r="P619" s="616"/>
      <c r="Q619" s="616"/>
      <c r="AA619" s="624"/>
      <c r="AB619" s="663">
        <v>39035152202</v>
      </c>
      <c r="AC619" s="663" t="s">
        <v>5551</v>
      </c>
      <c r="AD619" s="663" t="s">
        <v>4927</v>
      </c>
      <c r="AE619" s="663" t="s">
        <v>4934</v>
      </c>
      <c r="AF619" s="663" t="s">
        <v>4946</v>
      </c>
    </row>
    <row r="620" spans="1:32" s="608" customFormat="1" x14ac:dyDescent="0.25">
      <c r="A620" s="624"/>
      <c r="B620" s="617">
        <v>39035153104</v>
      </c>
      <c r="C620" s="617" t="s">
        <v>2288</v>
      </c>
      <c r="D620" s="617" t="s">
        <v>42</v>
      </c>
      <c r="E620" s="617" t="s">
        <v>4853</v>
      </c>
      <c r="F620" s="617" t="s">
        <v>26</v>
      </c>
      <c r="G620" s="624"/>
      <c r="H620" s="669">
        <v>44703</v>
      </c>
      <c r="I620" s="617" t="s">
        <v>4874</v>
      </c>
      <c r="J620" s="617" t="s">
        <v>26</v>
      </c>
      <c r="K620" s="624"/>
      <c r="O620" s="616"/>
      <c r="P620" s="616"/>
      <c r="Q620" s="616"/>
      <c r="AA620" s="624"/>
      <c r="AB620" s="663">
        <v>39035152301</v>
      </c>
      <c r="AC620" s="663" t="s">
        <v>5552</v>
      </c>
      <c r="AD620" s="663" t="s">
        <v>4927</v>
      </c>
      <c r="AE620" s="663" t="s">
        <v>4928</v>
      </c>
      <c r="AF620" s="663" t="s">
        <v>4946</v>
      </c>
    </row>
    <row r="621" spans="1:32" s="608" customFormat="1" x14ac:dyDescent="0.25">
      <c r="A621" s="624"/>
      <c r="B621" s="617">
        <v>39035153105</v>
      </c>
      <c r="C621" s="617" t="s">
        <v>2289</v>
      </c>
      <c r="D621" s="617" t="s">
        <v>42</v>
      </c>
      <c r="E621" s="617" t="s">
        <v>4853</v>
      </c>
      <c r="F621" s="617" t="s">
        <v>26</v>
      </c>
      <c r="G621" s="624"/>
      <c r="H621" s="669">
        <v>43067</v>
      </c>
      <c r="I621" s="617" t="s">
        <v>1678</v>
      </c>
      <c r="J621" s="617" t="s">
        <v>26</v>
      </c>
      <c r="K621" s="624"/>
      <c r="O621" s="616"/>
      <c r="P621" s="616"/>
      <c r="Q621" s="616"/>
      <c r="AA621" s="624"/>
      <c r="AB621" s="663">
        <v>39035152302</v>
      </c>
      <c r="AC621" s="663" t="s">
        <v>5553</v>
      </c>
      <c r="AD621" s="663" t="s">
        <v>4950</v>
      </c>
      <c r="AE621" s="663" t="s">
        <v>4928</v>
      </c>
      <c r="AF621" s="663" t="s">
        <v>4946</v>
      </c>
    </row>
    <row r="622" spans="1:32" s="608" customFormat="1" x14ac:dyDescent="0.25">
      <c r="A622" s="624"/>
      <c r="B622" s="617">
        <v>39035153106</v>
      </c>
      <c r="C622" s="617" t="s">
        <v>2290</v>
      </c>
      <c r="D622" s="617" t="s">
        <v>42</v>
      </c>
      <c r="E622" s="617" t="s">
        <v>4853</v>
      </c>
      <c r="F622" s="617" t="s">
        <v>26</v>
      </c>
      <c r="G622" s="624"/>
      <c r="H622" s="669">
        <v>45237</v>
      </c>
      <c r="I622" s="617" t="s">
        <v>4867</v>
      </c>
      <c r="J622" s="617" t="s">
        <v>26</v>
      </c>
      <c r="K622" s="624"/>
      <c r="O622" s="616"/>
      <c r="P622" s="616"/>
      <c r="Q622" s="616"/>
      <c r="AA622" s="624"/>
      <c r="AB622" s="663">
        <v>39035152303</v>
      </c>
      <c r="AC622" s="663" t="s">
        <v>5554</v>
      </c>
      <c r="AD622" s="663" t="s">
        <v>4927</v>
      </c>
      <c r="AE622" s="663" t="s">
        <v>4928</v>
      </c>
      <c r="AF622" s="663" t="s">
        <v>4946</v>
      </c>
    </row>
    <row r="623" spans="1:32" s="608" customFormat="1" x14ac:dyDescent="0.25">
      <c r="A623" s="624"/>
      <c r="B623" s="617">
        <v>39035153107</v>
      </c>
      <c r="C623" s="617" t="s">
        <v>2291</v>
      </c>
      <c r="D623" s="617" t="s">
        <v>42</v>
      </c>
      <c r="E623" s="617" t="s">
        <v>4853</v>
      </c>
      <c r="F623" s="617" t="s">
        <v>26</v>
      </c>
      <c r="G623" s="624"/>
      <c r="H623" s="669">
        <v>45053</v>
      </c>
      <c r="I623" s="617" t="s">
        <v>4867</v>
      </c>
      <c r="J623" s="617" t="s">
        <v>26</v>
      </c>
      <c r="K623" s="624"/>
      <c r="O623" s="616"/>
      <c r="P623" s="616"/>
      <c r="Q623" s="616"/>
      <c r="AA623" s="624"/>
      <c r="AB623" s="663">
        <v>39035152400</v>
      </c>
      <c r="AC623" s="663" t="s">
        <v>5555</v>
      </c>
      <c r="AD623" s="663" t="s">
        <v>4927</v>
      </c>
      <c r="AE623" s="663" t="s">
        <v>4928</v>
      </c>
      <c r="AF623" s="663" t="s">
        <v>4946</v>
      </c>
    </row>
    <row r="624" spans="1:32" s="608" customFormat="1" x14ac:dyDescent="0.25">
      <c r="A624" s="624"/>
      <c r="B624" s="617">
        <v>39035154100</v>
      </c>
      <c r="C624" s="617" t="s">
        <v>2292</v>
      </c>
      <c r="D624" s="617" t="s">
        <v>42</v>
      </c>
      <c r="E624" s="617" t="s">
        <v>4853</v>
      </c>
      <c r="F624" s="617" t="s">
        <v>26</v>
      </c>
      <c r="G624" s="624"/>
      <c r="H624" s="669">
        <v>45162</v>
      </c>
      <c r="I624" s="617" t="s">
        <v>4867</v>
      </c>
      <c r="J624" s="617" t="s">
        <v>26</v>
      </c>
      <c r="K624" s="624"/>
      <c r="O624" s="616"/>
      <c r="P624" s="616"/>
      <c r="Q624" s="616"/>
      <c r="AA624" s="624"/>
      <c r="AB624" s="663">
        <v>39035152501</v>
      </c>
      <c r="AC624" s="663" t="s">
        <v>5556</v>
      </c>
      <c r="AD624" s="663" t="s">
        <v>4927</v>
      </c>
      <c r="AE624" s="663" t="s">
        <v>4928</v>
      </c>
      <c r="AF624" s="663" t="s">
        <v>4946</v>
      </c>
    </row>
    <row r="625" spans="1:32" s="608" customFormat="1" x14ac:dyDescent="0.25">
      <c r="A625" s="624"/>
      <c r="B625" s="617">
        <v>39035154200</v>
      </c>
      <c r="C625" s="617" t="s">
        <v>2293</v>
      </c>
      <c r="D625" s="617" t="s">
        <v>42</v>
      </c>
      <c r="E625" s="617" t="s">
        <v>4853</v>
      </c>
      <c r="F625" s="617" t="s">
        <v>24</v>
      </c>
      <c r="G625" s="624"/>
      <c r="H625" s="669">
        <v>41030</v>
      </c>
      <c r="I625" s="617" t="s">
        <v>4867</v>
      </c>
      <c r="J625" s="617" t="s">
        <v>26</v>
      </c>
      <c r="K625" s="624"/>
      <c r="O625" s="616"/>
      <c r="P625" s="616"/>
      <c r="Q625" s="616"/>
      <c r="AA625" s="624"/>
      <c r="AB625" s="663">
        <v>39035152502</v>
      </c>
      <c r="AC625" s="663" t="s">
        <v>5557</v>
      </c>
      <c r="AD625" s="663" t="s">
        <v>4927</v>
      </c>
      <c r="AE625" s="663" t="s">
        <v>4928</v>
      </c>
      <c r="AF625" s="663" t="s">
        <v>4946</v>
      </c>
    </row>
    <row r="626" spans="1:32" s="608" customFormat="1" x14ac:dyDescent="0.25">
      <c r="A626" s="624"/>
      <c r="B626" s="617">
        <v>39035154400</v>
      </c>
      <c r="C626" s="617" t="s">
        <v>2294</v>
      </c>
      <c r="D626" s="617" t="s">
        <v>42</v>
      </c>
      <c r="E626" s="617" t="s">
        <v>4853</v>
      </c>
      <c r="F626" s="617" t="s">
        <v>26</v>
      </c>
      <c r="G626" s="624"/>
      <c r="H626" s="669">
        <v>44907</v>
      </c>
      <c r="I626" s="617" t="s">
        <v>4877</v>
      </c>
      <c r="J626" s="617" t="s">
        <v>26</v>
      </c>
      <c r="K626" s="624"/>
      <c r="O626" s="616"/>
      <c r="P626" s="616"/>
      <c r="Q626" s="616"/>
      <c r="AA626" s="624"/>
      <c r="AB626" s="663">
        <v>39035152603</v>
      </c>
      <c r="AC626" s="663" t="s">
        <v>5558</v>
      </c>
      <c r="AD626" s="663" t="s">
        <v>4927</v>
      </c>
      <c r="AE626" s="663" t="s">
        <v>4942</v>
      </c>
      <c r="AF626" s="663" t="s">
        <v>4946</v>
      </c>
    </row>
    <row r="627" spans="1:32" s="608" customFormat="1" x14ac:dyDescent="0.25">
      <c r="A627" s="624"/>
      <c r="B627" s="617">
        <v>39035154501</v>
      </c>
      <c r="C627" s="617" t="s">
        <v>2295</v>
      </c>
      <c r="D627" s="617" t="s">
        <v>42</v>
      </c>
      <c r="E627" s="617" t="s">
        <v>4853</v>
      </c>
      <c r="F627" s="617" t="s">
        <v>24</v>
      </c>
      <c r="G627" s="624"/>
      <c r="H627" s="669">
        <v>45804</v>
      </c>
      <c r="I627" s="617" t="s">
        <v>4875</v>
      </c>
      <c r="J627" s="617" t="s">
        <v>26</v>
      </c>
      <c r="K627" s="624"/>
      <c r="O627" s="616"/>
      <c r="P627" s="616"/>
      <c r="Q627" s="616"/>
      <c r="AA627" s="624"/>
      <c r="AB627" s="663">
        <v>39035152604</v>
      </c>
      <c r="AC627" s="663" t="s">
        <v>5559</v>
      </c>
      <c r="AD627" s="663" t="s">
        <v>4927</v>
      </c>
      <c r="AE627" s="663" t="s">
        <v>4931</v>
      </c>
      <c r="AF627" s="663" t="s">
        <v>4946</v>
      </c>
    </row>
    <row r="628" spans="1:32" s="608" customFormat="1" x14ac:dyDescent="0.25">
      <c r="A628" s="624"/>
      <c r="B628" s="617">
        <v>39035154502</v>
      </c>
      <c r="C628" s="617" t="s">
        <v>2296</v>
      </c>
      <c r="D628" s="617" t="s">
        <v>42</v>
      </c>
      <c r="E628" s="617" t="s">
        <v>4853</v>
      </c>
      <c r="F628" s="617" t="s">
        <v>26</v>
      </c>
      <c r="G628" s="624"/>
      <c r="H628" s="669">
        <v>44425</v>
      </c>
      <c r="I628" s="617" t="s">
        <v>4873</v>
      </c>
      <c r="J628" s="617" t="s">
        <v>26</v>
      </c>
      <c r="K628" s="624"/>
      <c r="O628" s="616"/>
      <c r="P628" s="616"/>
      <c r="Q628" s="616"/>
      <c r="AA628" s="624"/>
      <c r="AB628" s="663">
        <v>39035152701</v>
      </c>
      <c r="AC628" s="663" t="s">
        <v>5560</v>
      </c>
      <c r="AD628" s="663" t="s">
        <v>4927</v>
      </c>
      <c r="AE628" s="663" t="s">
        <v>4931</v>
      </c>
      <c r="AF628" s="663" t="s">
        <v>4946</v>
      </c>
    </row>
    <row r="629" spans="1:32" s="608" customFormat="1" x14ac:dyDescent="0.25">
      <c r="A629" s="624"/>
      <c r="B629" s="617">
        <v>39035154601</v>
      </c>
      <c r="C629" s="617" t="s">
        <v>2297</v>
      </c>
      <c r="D629" s="617" t="s">
        <v>42</v>
      </c>
      <c r="E629" s="617" t="s">
        <v>4853</v>
      </c>
      <c r="F629" s="617" t="s">
        <v>26</v>
      </c>
      <c r="G629" s="624"/>
      <c r="H629" s="669">
        <v>45368</v>
      </c>
      <c r="I629" s="617" t="s">
        <v>4876</v>
      </c>
      <c r="J629" s="617" t="s">
        <v>26</v>
      </c>
      <c r="K629" s="624"/>
      <c r="O629" s="616"/>
      <c r="P629" s="616"/>
      <c r="Q629" s="616"/>
      <c r="AA629" s="624"/>
      <c r="AB629" s="663">
        <v>39035152702</v>
      </c>
      <c r="AC629" s="663" t="s">
        <v>5561</v>
      </c>
      <c r="AD629" s="663" t="s">
        <v>4927</v>
      </c>
      <c r="AE629" s="663" t="s">
        <v>4942</v>
      </c>
      <c r="AF629" s="663" t="s">
        <v>4946</v>
      </c>
    </row>
    <row r="630" spans="1:32" s="608" customFormat="1" x14ac:dyDescent="0.25">
      <c r="A630" s="624"/>
      <c r="B630" s="617">
        <v>39035154603</v>
      </c>
      <c r="C630" s="617" t="s">
        <v>2298</v>
      </c>
      <c r="D630" s="617" t="s">
        <v>42</v>
      </c>
      <c r="E630" s="617" t="s">
        <v>4853</v>
      </c>
      <c r="F630" s="617" t="s">
        <v>26</v>
      </c>
      <c r="G630" s="624"/>
      <c r="H630" s="669">
        <v>44408</v>
      </c>
      <c r="I630" s="617" t="s">
        <v>4873</v>
      </c>
      <c r="J630" s="617" t="s">
        <v>26</v>
      </c>
      <c r="K630" s="624"/>
      <c r="O630" s="616"/>
      <c r="P630" s="616"/>
      <c r="Q630" s="616"/>
      <c r="AA630" s="624"/>
      <c r="AB630" s="663">
        <v>39035152703</v>
      </c>
      <c r="AC630" s="663" t="s">
        <v>5562</v>
      </c>
      <c r="AD630" s="663" t="s">
        <v>4950</v>
      </c>
      <c r="AE630" s="663" t="s">
        <v>4934</v>
      </c>
      <c r="AF630" s="663" t="s">
        <v>4946</v>
      </c>
    </row>
    <row r="631" spans="1:32" s="608" customFormat="1" x14ac:dyDescent="0.25">
      <c r="A631" s="624"/>
      <c r="B631" s="617">
        <v>39035154604</v>
      </c>
      <c r="C631" s="617" t="s">
        <v>2299</v>
      </c>
      <c r="D631" s="617" t="s">
        <v>42</v>
      </c>
      <c r="E631" s="617" t="s">
        <v>4853</v>
      </c>
      <c r="F631" s="617" t="s">
        <v>26</v>
      </c>
      <c r="G631" s="624"/>
      <c r="H631" s="669">
        <v>45697</v>
      </c>
      <c r="I631" s="617" t="s">
        <v>1674</v>
      </c>
      <c r="J631" s="617" t="s">
        <v>26</v>
      </c>
      <c r="K631" s="624"/>
      <c r="O631" s="616"/>
      <c r="P631" s="616"/>
      <c r="Q631" s="616"/>
      <c r="AA631" s="624"/>
      <c r="AB631" s="663">
        <v>39035153103</v>
      </c>
      <c r="AC631" s="663" t="s">
        <v>5563</v>
      </c>
      <c r="AD631" s="663" t="s">
        <v>4941</v>
      </c>
      <c r="AE631" s="663" t="s">
        <v>4934</v>
      </c>
      <c r="AF631" s="663" t="s">
        <v>4946</v>
      </c>
    </row>
    <row r="632" spans="1:32" s="608" customFormat="1" x14ac:dyDescent="0.25">
      <c r="A632" s="624"/>
      <c r="B632" s="617">
        <v>39035155101</v>
      </c>
      <c r="C632" s="617" t="s">
        <v>2300</v>
      </c>
      <c r="D632" s="617" t="s">
        <v>42</v>
      </c>
      <c r="E632" s="617" t="s">
        <v>4853</v>
      </c>
      <c r="F632" s="617" t="s">
        <v>26</v>
      </c>
      <c r="G632" s="624"/>
      <c r="H632" s="669">
        <v>45144</v>
      </c>
      <c r="I632" s="617" t="s">
        <v>1674</v>
      </c>
      <c r="J632" s="617" t="s">
        <v>26</v>
      </c>
      <c r="K632" s="624"/>
      <c r="O632" s="616"/>
      <c r="P632" s="616"/>
      <c r="Q632" s="616"/>
      <c r="AA632" s="624"/>
      <c r="AB632" s="663">
        <v>39035153104</v>
      </c>
      <c r="AC632" s="663" t="s">
        <v>5564</v>
      </c>
      <c r="AD632" s="663" t="s">
        <v>4948</v>
      </c>
      <c r="AE632" s="663" t="s">
        <v>4942</v>
      </c>
      <c r="AF632" s="663" t="s">
        <v>4946</v>
      </c>
    </row>
    <row r="633" spans="1:32" s="608" customFormat="1" x14ac:dyDescent="0.25">
      <c r="A633" s="624"/>
      <c r="B633" s="617">
        <v>39035155102</v>
      </c>
      <c r="C633" s="617" t="s">
        <v>2301</v>
      </c>
      <c r="D633" s="617" t="s">
        <v>42</v>
      </c>
      <c r="E633" s="617" t="s">
        <v>4853</v>
      </c>
      <c r="F633" s="617" t="s">
        <v>26</v>
      </c>
      <c r="G633" s="624"/>
      <c r="H633" s="669">
        <v>43130</v>
      </c>
      <c r="I633" s="617" t="s">
        <v>4871</v>
      </c>
      <c r="J633" s="617" t="s">
        <v>26</v>
      </c>
      <c r="K633" s="624"/>
      <c r="O633" s="616"/>
      <c r="P633" s="616"/>
      <c r="Q633" s="616"/>
      <c r="AA633" s="624"/>
      <c r="AB633" s="663">
        <v>39035153105</v>
      </c>
      <c r="AC633" s="663" t="s">
        <v>5565</v>
      </c>
      <c r="AD633" s="663" t="s">
        <v>4941</v>
      </c>
      <c r="AE633" s="663" t="s">
        <v>4928</v>
      </c>
      <c r="AF633" s="663" t="s">
        <v>4946</v>
      </c>
    </row>
    <row r="634" spans="1:32" s="608" customFormat="1" x14ac:dyDescent="0.25">
      <c r="A634" s="624"/>
      <c r="B634" s="617">
        <v>39035156101</v>
      </c>
      <c r="C634" s="617" t="s">
        <v>2302</v>
      </c>
      <c r="D634" s="617" t="s">
        <v>42</v>
      </c>
      <c r="E634" s="617" t="s">
        <v>4853</v>
      </c>
      <c r="F634" s="617" t="s">
        <v>26</v>
      </c>
      <c r="G634" s="624"/>
      <c r="H634" s="669">
        <v>43156</v>
      </c>
      <c r="I634" s="617" t="s">
        <v>4871</v>
      </c>
      <c r="J634" s="617" t="s">
        <v>26</v>
      </c>
      <c r="K634" s="624"/>
      <c r="O634" s="616"/>
      <c r="P634" s="616"/>
      <c r="Q634" s="616"/>
      <c r="AA634" s="624"/>
      <c r="AB634" s="663">
        <v>39035153106</v>
      </c>
      <c r="AC634" s="663" t="s">
        <v>5566</v>
      </c>
      <c r="AD634" s="663" t="s">
        <v>4941</v>
      </c>
      <c r="AE634" s="663" t="s">
        <v>4939</v>
      </c>
      <c r="AF634" s="663" t="s">
        <v>4946</v>
      </c>
    </row>
    <row r="635" spans="1:32" s="608" customFormat="1" x14ac:dyDescent="0.25">
      <c r="A635" s="624"/>
      <c r="B635" s="617">
        <v>39035156102</v>
      </c>
      <c r="C635" s="617" t="s">
        <v>2303</v>
      </c>
      <c r="D635" s="617" t="s">
        <v>42</v>
      </c>
      <c r="E635" s="617" t="s">
        <v>4853</v>
      </c>
      <c r="F635" s="617" t="s">
        <v>26</v>
      </c>
      <c r="G635" s="624"/>
      <c r="H635" s="669">
        <v>45403</v>
      </c>
      <c r="I635" s="617" t="s">
        <v>4870</v>
      </c>
      <c r="J635" s="617" t="s">
        <v>26</v>
      </c>
      <c r="K635" s="624"/>
      <c r="O635" s="616"/>
      <c r="P635" s="616"/>
      <c r="Q635" s="616"/>
      <c r="AA635" s="624"/>
      <c r="AB635" s="663">
        <v>39035153107</v>
      </c>
      <c r="AC635" s="663" t="s">
        <v>5567</v>
      </c>
      <c r="AD635" s="663" t="s">
        <v>4941</v>
      </c>
      <c r="AE635" s="663" t="s">
        <v>4939</v>
      </c>
      <c r="AF635" s="663" t="s">
        <v>4946</v>
      </c>
    </row>
    <row r="636" spans="1:32" s="608" customFormat="1" x14ac:dyDescent="0.25">
      <c r="A636" s="624"/>
      <c r="B636" s="617">
        <v>39035160100</v>
      </c>
      <c r="C636" s="617" t="s">
        <v>2304</v>
      </c>
      <c r="D636" s="617" t="s">
        <v>42</v>
      </c>
      <c r="E636" s="617" t="s">
        <v>4853</v>
      </c>
      <c r="F636" s="617" t="s">
        <v>26</v>
      </c>
      <c r="G636" s="624"/>
      <c r="H636" s="669">
        <v>45404</v>
      </c>
      <c r="I636" s="617" t="s">
        <v>4870</v>
      </c>
      <c r="J636" s="617" t="s">
        <v>26</v>
      </c>
      <c r="K636" s="624"/>
      <c r="O636" s="616"/>
      <c r="P636" s="616"/>
      <c r="Q636" s="616"/>
      <c r="AA636" s="624"/>
      <c r="AB636" s="663">
        <v>39035154100</v>
      </c>
      <c r="AC636" s="663" t="s">
        <v>5568</v>
      </c>
      <c r="AD636" s="663" t="s">
        <v>4927</v>
      </c>
      <c r="AE636" s="663" t="s">
        <v>4928</v>
      </c>
      <c r="AF636" s="663" t="s">
        <v>4946</v>
      </c>
    </row>
    <row r="637" spans="1:32" s="608" customFormat="1" x14ac:dyDescent="0.25">
      <c r="A637" s="624"/>
      <c r="B637" s="617">
        <v>39035160200</v>
      </c>
      <c r="C637" s="617" t="s">
        <v>2305</v>
      </c>
      <c r="D637" s="617" t="s">
        <v>42</v>
      </c>
      <c r="E637" s="617" t="s">
        <v>4853</v>
      </c>
      <c r="F637" s="617" t="s">
        <v>26</v>
      </c>
      <c r="G637" s="624"/>
      <c r="H637" s="669">
        <v>44632</v>
      </c>
      <c r="I637" s="617" t="s">
        <v>4868</v>
      </c>
      <c r="J637" s="617" t="s">
        <v>26</v>
      </c>
      <c r="K637" s="624"/>
      <c r="O637" s="616"/>
      <c r="P637" s="616"/>
      <c r="Q637" s="616"/>
      <c r="AA637" s="624"/>
      <c r="AB637" s="663">
        <v>39035154200</v>
      </c>
      <c r="AC637" s="663" t="s">
        <v>5569</v>
      </c>
      <c r="AD637" s="663" t="s">
        <v>4927</v>
      </c>
      <c r="AE637" s="663" t="s">
        <v>4942</v>
      </c>
      <c r="AF637" s="663" t="s">
        <v>4946</v>
      </c>
    </row>
    <row r="638" spans="1:32" s="608" customFormat="1" x14ac:dyDescent="0.25">
      <c r="A638" s="624"/>
      <c r="B638" s="617">
        <v>39035160300</v>
      </c>
      <c r="C638" s="617" t="s">
        <v>2306</v>
      </c>
      <c r="D638" s="617" t="s">
        <v>42</v>
      </c>
      <c r="E638" s="617" t="s">
        <v>4853</v>
      </c>
      <c r="F638" s="617" t="s">
        <v>26</v>
      </c>
      <c r="G638" s="624"/>
      <c r="H638" s="669">
        <v>43605</v>
      </c>
      <c r="I638" s="617" t="s">
        <v>4872</v>
      </c>
      <c r="J638" s="617" t="s">
        <v>26</v>
      </c>
      <c r="K638" s="624"/>
      <c r="O638" s="616"/>
      <c r="P638" s="616"/>
      <c r="Q638" s="616"/>
      <c r="AA638" s="624"/>
      <c r="AB638" s="663">
        <v>39035154300</v>
      </c>
      <c r="AC638" s="663" t="s">
        <v>5570</v>
      </c>
      <c r="AD638" s="663" t="s">
        <v>4927</v>
      </c>
      <c r="AE638" s="663" t="s">
        <v>5006</v>
      </c>
      <c r="AF638" s="663" t="s">
        <v>4946</v>
      </c>
    </row>
    <row r="639" spans="1:32" s="608" customFormat="1" x14ac:dyDescent="0.25">
      <c r="A639" s="624"/>
      <c r="B639" s="617">
        <v>39035160400</v>
      </c>
      <c r="C639" s="617" t="s">
        <v>2307</v>
      </c>
      <c r="D639" s="617" t="s">
        <v>42</v>
      </c>
      <c r="E639" s="617" t="s">
        <v>4853</v>
      </c>
      <c r="F639" s="617" t="s">
        <v>26</v>
      </c>
      <c r="G639" s="624"/>
      <c r="H639" s="669">
        <v>43616</v>
      </c>
      <c r="I639" s="617" t="s">
        <v>4872</v>
      </c>
      <c r="J639" s="617" t="s">
        <v>26</v>
      </c>
      <c r="K639" s="624"/>
      <c r="O639" s="616"/>
      <c r="P639" s="616"/>
      <c r="Q639" s="616"/>
      <c r="AA639" s="624"/>
      <c r="AB639" s="663">
        <v>39035154400</v>
      </c>
      <c r="AC639" s="663" t="s">
        <v>5571</v>
      </c>
      <c r="AD639" s="663" t="s">
        <v>4927</v>
      </c>
      <c r="AE639" s="663" t="s">
        <v>4939</v>
      </c>
      <c r="AF639" s="663" t="s">
        <v>4946</v>
      </c>
    </row>
    <row r="640" spans="1:32" s="608" customFormat="1" x14ac:dyDescent="0.25">
      <c r="A640" s="624"/>
      <c r="B640" s="617">
        <v>39035160500</v>
      </c>
      <c r="C640" s="617" t="s">
        <v>2308</v>
      </c>
      <c r="D640" s="617" t="s">
        <v>42</v>
      </c>
      <c r="E640" s="617" t="s">
        <v>4853</v>
      </c>
      <c r="F640" s="617" t="s">
        <v>26</v>
      </c>
      <c r="G640" s="624"/>
      <c r="H640" s="669">
        <v>43604</v>
      </c>
      <c r="I640" s="617" t="s">
        <v>4872</v>
      </c>
      <c r="J640" s="617" t="s">
        <v>26</v>
      </c>
      <c r="K640" s="624"/>
      <c r="O640" s="616"/>
      <c r="P640" s="616"/>
      <c r="Q640" s="616"/>
      <c r="AA640" s="624"/>
      <c r="AB640" s="663">
        <v>39035154501</v>
      </c>
      <c r="AC640" s="663" t="s">
        <v>5572</v>
      </c>
      <c r="AD640" s="663" t="s">
        <v>4950</v>
      </c>
      <c r="AE640" s="663" t="s">
        <v>4928</v>
      </c>
      <c r="AF640" s="663" t="s">
        <v>4946</v>
      </c>
    </row>
    <row r="641" spans="1:32" s="608" customFormat="1" x14ac:dyDescent="0.25">
      <c r="A641" s="624"/>
      <c r="B641" s="617">
        <v>39035160602</v>
      </c>
      <c r="C641" s="617" t="s">
        <v>2309</v>
      </c>
      <c r="D641" s="617" t="s">
        <v>42</v>
      </c>
      <c r="E641" s="617" t="s">
        <v>4853</v>
      </c>
      <c r="F641" s="617" t="s">
        <v>24</v>
      </c>
      <c r="G641" s="624"/>
      <c r="H641" s="669">
        <v>43521</v>
      </c>
      <c r="I641" s="617" t="s">
        <v>4872</v>
      </c>
      <c r="J641" s="617" t="s">
        <v>26</v>
      </c>
      <c r="K641" s="624"/>
      <c r="O641" s="616"/>
      <c r="P641" s="616"/>
      <c r="Q641" s="616"/>
      <c r="AA641" s="624"/>
      <c r="AB641" s="663">
        <v>39035154502</v>
      </c>
      <c r="AC641" s="663" t="s">
        <v>5573</v>
      </c>
      <c r="AD641" s="663" t="s">
        <v>4927</v>
      </c>
      <c r="AE641" s="663" t="s">
        <v>4934</v>
      </c>
      <c r="AF641" s="663" t="s">
        <v>4946</v>
      </c>
    </row>
    <row r="642" spans="1:32" s="608" customFormat="1" x14ac:dyDescent="0.25">
      <c r="A642" s="624"/>
      <c r="B642" s="617">
        <v>39035160603</v>
      </c>
      <c r="C642" s="617" t="s">
        <v>2310</v>
      </c>
      <c r="D642" s="617" t="s">
        <v>42</v>
      </c>
      <c r="E642" s="617" t="s">
        <v>4853</v>
      </c>
      <c r="F642" s="617" t="s">
        <v>26</v>
      </c>
      <c r="G642" s="624"/>
      <c r="H642" s="669">
        <v>43434</v>
      </c>
      <c r="I642" s="617" t="s">
        <v>4872</v>
      </c>
      <c r="J642" s="617" t="s">
        <v>26</v>
      </c>
      <c r="K642" s="624"/>
      <c r="O642" s="616"/>
      <c r="P642" s="616"/>
      <c r="Q642" s="616"/>
      <c r="AA642" s="624"/>
      <c r="AB642" s="663">
        <v>39035154601</v>
      </c>
      <c r="AC642" s="663" t="s">
        <v>5574</v>
      </c>
      <c r="AD642" s="663" t="s">
        <v>4927</v>
      </c>
      <c r="AE642" s="663" t="s">
        <v>4928</v>
      </c>
      <c r="AF642" s="663" t="s">
        <v>4946</v>
      </c>
    </row>
    <row r="643" spans="1:32" s="608" customFormat="1" x14ac:dyDescent="0.25">
      <c r="A643" s="624"/>
      <c r="B643" s="617">
        <v>39035160604</v>
      </c>
      <c r="C643" s="617" t="s">
        <v>2311</v>
      </c>
      <c r="D643" s="617" t="s">
        <v>42</v>
      </c>
      <c r="E643" s="617" t="s">
        <v>4853</v>
      </c>
      <c r="F643" s="617" t="s">
        <v>26</v>
      </c>
      <c r="G643" s="624"/>
      <c r="H643" s="669">
        <v>44102</v>
      </c>
      <c r="I643" s="617" t="s">
        <v>4869</v>
      </c>
      <c r="J643" s="617" t="s">
        <v>26</v>
      </c>
      <c r="K643" s="624"/>
      <c r="O643" s="616"/>
      <c r="P643" s="616"/>
      <c r="Q643" s="616"/>
      <c r="AA643" s="624"/>
      <c r="AB643" s="663">
        <v>39035154603</v>
      </c>
      <c r="AC643" s="663" t="s">
        <v>5575</v>
      </c>
      <c r="AD643" s="663" t="s">
        <v>4950</v>
      </c>
      <c r="AE643" s="663" t="s">
        <v>4928</v>
      </c>
      <c r="AF643" s="663" t="s">
        <v>4946</v>
      </c>
    </row>
    <row r="644" spans="1:32" s="608" customFormat="1" x14ac:dyDescent="0.25">
      <c r="A644" s="624"/>
      <c r="B644" s="617">
        <v>39035160900</v>
      </c>
      <c r="C644" s="617" t="s">
        <v>2312</v>
      </c>
      <c r="D644" s="617" t="s">
        <v>42</v>
      </c>
      <c r="E644" s="617" t="s">
        <v>4853</v>
      </c>
      <c r="F644" s="617" t="s">
        <v>26</v>
      </c>
      <c r="G644" s="624"/>
      <c r="H644" s="669">
        <v>44270</v>
      </c>
      <c r="I644" s="617" t="s">
        <v>4869</v>
      </c>
      <c r="J644" s="617" t="s">
        <v>26</v>
      </c>
      <c r="K644" s="624"/>
      <c r="O644" s="616"/>
      <c r="P644" s="616"/>
      <c r="Q644" s="616"/>
      <c r="AA644" s="624"/>
      <c r="AB644" s="663">
        <v>39035154604</v>
      </c>
      <c r="AC644" s="663" t="s">
        <v>5576</v>
      </c>
      <c r="AD644" s="663" t="s">
        <v>4950</v>
      </c>
      <c r="AE644" s="663" t="s">
        <v>4928</v>
      </c>
      <c r="AF644" s="663" t="s">
        <v>4946</v>
      </c>
    </row>
    <row r="645" spans="1:32" s="608" customFormat="1" x14ac:dyDescent="0.25">
      <c r="A645" s="624"/>
      <c r="B645" s="617">
        <v>39035161000</v>
      </c>
      <c r="C645" s="617" t="s">
        <v>2313</v>
      </c>
      <c r="D645" s="617" t="s">
        <v>42</v>
      </c>
      <c r="E645" s="617" t="s">
        <v>4853</v>
      </c>
      <c r="F645" s="617" t="s">
        <v>26</v>
      </c>
      <c r="G645" s="624"/>
      <c r="H645" s="669">
        <v>44287</v>
      </c>
      <c r="I645" s="617" t="s">
        <v>4869</v>
      </c>
      <c r="J645" s="617" t="s">
        <v>26</v>
      </c>
      <c r="K645" s="624"/>
      <c r="O645" s="616"/>
      <c r="P645" s="616"/>
      <c r="Q645" s="616"/>
      <c r="AA645" s="624"/>
      <c r="AB645" s="663">
        <v>39035154700</v>
      </c>
      <c r="AC645" s="663" t="s">
        <v>5577</v>
      </c>
      <c r="AD645" s="663" t="s">
        <v>4927</v>
      </c>
      <c r="AE645" s="663" t="s">
        <v>4942</v>
      </c>
      <c r="AF645" s="663" t="s">
        <v>4946</v>
      </c>
    </row>
    <row r="646" spans="1:32" s="608" customFormat="1" x14ac:dyDescent="0.25">
      <c r="A646" s="624"/>
      <c r="B646" s="617">
        <v>39035161100</v>
      </c>
      <c r="C646" s="617" t="s">
        <v>2314</v>
      </c>
      <c r="D646" s="617" t="s">
        <v>42</v>
      </c>
      <c r="E646" s="617" t="s">
        <v>4853</v>
      </c>
      <c r="F646" s="617" t="s">
        <v>26</v>
      </c>
      <c r="G646" s="624"/>
      <c r="H646" s="669">
        <v>44662</v>
      </c>
      <c r="I646" s="617" t="s">
        <v>4874</v>
      </c>
      <c r="J646" s="617" t="s">
        <v>26</v>
      </c>
      <c r="K646" s="624"/>
      <c r="O646" s="616"/>
      <c r="P646" s="616"/>
      <c r="Q646" s="616"/>
      <c r="AA646" s="624"/>
      <c r="AB646" s="663">
        <v>39035155101</v>
      </c>
      <c r="AC646" s="663" t="s">
        <v>5578</v>
      </c>
      <c r="AD646" s="663" t="s">
        <v>4938</v>
      </c>
      <c r="AE646" s="663" t="s">
        <v>4934</v>
      </c>
      <c r="AF646" s="663" t="s">
        <v>4946</v>
      </c>
    </row>
    <row r="647" spans="1:32" s="608" customFormat="1" x14ac:dyDescent="0.25">
      <c r="A647" s="624"/>
      <c r="B647" s="617">
        <v>39035161200</v>
      </c>
      <c r="C647" s="617" t="s">
        <v>2315</v>
      </c>
      <c r="D647" s="617" t="s">
        <v>42</v>
      </c>
      <c r="E647" s="617" t="s">
        <v>4853</v>
      </c>
      <c r="F647" s="617" t="s">
        <v>26</v>
      </c>
      <c r="G647" s="624"/>
      <c r="H647" s="669">
        <v>44644</v>
      </c>
      <c r="I647" s="617" t="s">
        <v>4874</v>
      </c>
      <c r="J647" s="617" t="s">
        <v>26</v>
      </c>
      <c r="K647" s="624"/>
      <c r="O647" s="616"/>
      <c r="P647" s="616"/>
      <c r="Q647" s="616"/>
      <c r="AA647" s="624"/>
      <c r="AB647" s="663">
        <v>39035155102</v>
      </c>
      <c r="AC647" s="663" t="s">
        <v>5579</v>
      </c>
      <c r="AD647" s="663" t="s">
        <v>4938</v>
      </c>
      <c r="AE647" s="663" t="s">
        <v>4934</v>
      </c>
      <c r="AF647" s="663" t="s">
        <v>4946</v>
      </c>
    </row>
    <row r="648" spans="1:32" s="608" customFormat="1" x14ac:dyDescent="0.25">
      <c r="A648" s="624"/>
      <c r="B648" s="617">
        <v>39035161300</v>
      </c>
      <c r="C648" s="617" t="s">
        <v>2316</v>
      </c>
      <c r="D648" s="617" t="s">
        <v>42</v>
      </c>
      <c r="E648" s="617" t="s">
        <v>4853</v>
      </c>
      <c r="F648" s="617" t="s">
        <v>26</v>
      </c>
      <c r="G648" s="624"/>
      <c r="H648" s="669">
        <v>44613</v>
      </c>
      <c r="I648" s="617" t="s">
        <v>4874</v>
      </c>
      <c r="J648" s="617" t="s">
        <v>26</v>
      </c>
      <c r="K648" s="624"/>
      <c r="O648" s="616"/>
      <c r="P648" s="616"/>
      <c r="Q648" s="616"/>
      <c r="AA648" s="624"/>
      <c r="AB648" s="663">
        <v>39035156101</v>
      </c>
      <c r="AC648" s="663" t="s">
        <v>5580</v>
      </c>
      <c r="AD648" s="663" t="s">
        <v>4938</v>
      </c>
      <c r="AE648" s="663" t="s">
        <v>4939</v>
      </c>
      <c r="AF648" s="663" t="s">
        <v>4946</v>
      </c>
    </row>
    <row r="649" spans="1:32" s="608" customFormat="1" x14ac:dyDescent="0.25">
      <c r="A649" s="624"/>
      <c r="B649" s="617">
        <v>39035161400</v>
      </c>
      <c r="C649" s="617" t="s">
        <v>2317</v>
      </c>
      <c r="D649" s="617" t="s">
        <v>42</v>
      </c>
      <c r="E649" s="617" t="s">
        <v>4853</v>
      </c>
      <c r="F649" s="617" t="s">
        <v>26</v>
      </c>
      <c r="G649" s="624"/>
      <c r="H649" s="669">
        <v>45013</v>
      </c>
      <c r="I649" s="617" t="s">
        <v>4867</v>
      </c>
      <c r="J649" s="617" t="s">
        <v>26</v>
      </c>
      <c r="K649" s="624"/>
      <c r="O649" s="616"/>
      <c r="P649" s="616"/>
      <c r="Q649" s="616"/>
      <c r="AA649" s="624"/>
      <c r="AB649" s="663">
        <v>39035156102</v>
      </c>
      <c r="AC649" s="663" t="s">
        <v>5581</v>
      </c>
      <c r="AD649" s="663" t="s">
        <v>4938</v>
      </c>
      <c r="AE649" s="663" t="s">
        <v>4939</v>
      </c>
      <c r="AF649" s="663" t="s">
        <v>4946</v>
      </c>
    </row>
    <row r="650" spans="1:32" s="608" customFormat="1" x14ac:dyDescent="0.25">
      <c r="A650" s="624"/>
      <c r="B650" s="617">
        <v>39035161500</v>
      </c>
      <c r="C650" s="617" t="s">
        <v>2318</v>
      </c>
      <c r="D650" s="617" t="s">
        <v>42</v>
      </c>
      <c r="E650" s="617" t="s">
        <v>4853</v>
      </c>
      <c r="F650" s="617" t="s">
        <v>26</v>
      </c>
      <c r="G650" s="624"/>
      <c r="H650" s="669">
        <v>45176</v>
      </c>
      <c r="I650" s="617" t="s">
        <v>4867</v>
      </c>
      <c r="J650" s="617" t="s">
        <v>26</v>
      </c>
      <c r="K650" s="624"/>
      <c r="O650" s="616"/>
      <c r="P650" s="616"/>
      <c r="Q650" s="616"/>
      <c r="AA650" s="624"/>
      <c r="AB650" s="663">
        <v>39035160100</v>
      </c>
      <c r="AC650" s="663" t="s">
        <v>5582</v>
      </c>
      <c r="AD650" s="663" t="s">
        <v>4938</v>
      </c>
      <c r="AE650" s="663" t="s">
        <v>4939</v>
      </c>
      <c r="AF650" s="663" t="s">
        <v>4946</v>
      </c>
    </row>
    <row r="651" spans="1:32" s="608" customFormat="1" x14ac:dyDescent="0.25">
      <c r="A651" s="624"/>
      <c r="B651" s="617">
        <v>39035161600</v>
      </c>
      <c r="C651" s="617" t="s">
        <v>2319</v>
      </c>
      <c r="D651" s="617" t="s">
        <v>42</v>
      </c>
      <c r="E651" s="617" t="s">
        <v>4853</v>
      </c>
      <c r="F651" s="617" t="s">
        <v>26</v>
      </c>
      <c r="G651" s="624"/>
      <c r="H651" s="669">
        <v>45107</v>
      </c>
      <c r="I651" s="617" t="s">
        <v>4867</v>
      </c>
      <c r="J651" s="617" t="s">
        <v>26</v>
      </c>
      <c r="K651" s="624"/>
      <c r="O651" s="616"/>
      <c r="P651" s="616"/>
      <c r="Q651" s="616"/>
      <c r="AA651" s="624"/>
      <c r="AB651" s="663">
        <v>39035160200</v>
      </c>
      <c r="AC651" s="663" t="s">
        <v>5583</v>
      </c>
      <c r="AD651" s="663" t="s">
        <v>4941</v>
      </c>
      <c r="AE651" s="663" t="s">
        <v>4939</v>
      </c>
      <c r="AF651" s="663" t="s">
        <v>4946</v>
      </c>
    </row>
    <row r="652" spans="1:32" s="608" customFormat="1" x14ac:dyDescent="0.25">
      <c r="A652" s="624"/>
      <c r="B652" s="617">
        <v>39035161900</v>
      </c>
      <c r="C652" s="617" t="s">
        <v>2320</v>
      </c>
      <c r="D652" s="617" t="s">
        <v>42</v>
      </c>
      <c r="E652" s="617" t="s">
        <v>4853</v>
      </c>
      <c r="F652" s="617" t="s">
        <v>26</v>
      </c>
      <c r="G652" s="624"/>
      <c r="H652" s="669">
        <v>45032</v>
      </c>
      <c r="I652" s="617" t="s">
        <v>4867</v>
      </c>
      <c r="J652" s="617" t="s">
        <v>26</v>
      </c>
      <c r="K652" s="624"/>
      <c r="O652" s="616"/>
      <c r="P652" s="616"/>
      <c r="Q652" s="616"/>
      <c r="AA652" s="624"/>
      <c r="AB652" s="663">
        <v>39035160300</v>
      </c>
      <c r="AC652" s="663" t="s">
        <v>5584</v>
      </c>
      <c r="AD652" s="663" t="s">
        <v>4941</v>
      </c>
      <c r="AE652" s="663" t="s">
        <v>4934</v>
      </c>
      <c r="AF652" s="663" t="s">
        <v>4946</v>
      </c>
    </row>
    <row r="653" spans="1:32" s="608" customFormat="1" x14ac:dyDescent="0.25">
      <c r="A653" s="624"/>
      <c r="B653" s="617">
        <v>39035170101</v>
      </c>
      <c r="C653" s="617" t="s">
        <v>2321</v>
      </c>
      <c r="D653" s="617" t="s">
        <v>42</v>
      </c>
      <c r="E653" s="617" t="s">
        <v>4853</v>
      </c>
      <c r="F653" s="617" t="s">
        <v>26</v>
      </c>
      <c r="G653" s="624"/>
      <c r="H653" s="669">
        <v>43207</v>
      </c>
      <c r="I653" s="617" t="s">
        <v>4871</v>
      </c>
      <c r="J653" s="617" t="s">
        <v>26</v>
      </c>
      <c r="K653" s="624"/>
      <c r="O653" s="616"/>
      <c r="P653" s="616"/>
      <c r="Q653" s="616"/>
      <c r="AA653" s="624"/>
      <c r="AB653" s="663">
        <v>39035160400</v>
      </c>
      <c r="AC653" s="663" t="s">
        <v>5585</v>
      </c>
      <c r="AD653" s="663" t="s">
        <v>4941</v>
      </c>
      <c r="AE653" s="663" t="s">
        <v>4931</v>
      </c>
      <c r="AF653" s="663" t="s">
        <v>4946</v>
      </c>
    </row>
    <row r="654" spans="1:32" s="608" customFormat="1" x14ac:dyDescent="0.25">
      <c r="A654" s="624"/>
      <c r="B654" s="617">
        <v>39035170102</v>
      </c>
      <c r="C654" s="617" t="s">
        <v>2322</v>
      </c>
      <c r="D654" s="617" t="s">
        <v>42</v>
      </c>
      <c r="E654" s="617" t="s">
        <v>4853</v>
      </c>
      <c r="F654" s="617" t="s">
        <v>26</v>
      </c>
      <c r="G654" s="624"/>
      <c r="H654" s="669">
        <v>43227</v>
      </c>
      <c r="I654" s="617" t="s">
        <v>4871</v>
      </c>
      <c r="J654" s="617" t="s">
        <v>26</v>
      </c>
      <c r="K654" s="624"/>
      <c r="O654" s="616"/>
      <c r="P654" s="616"/>
      <c r="Q654" s="616"/>
      <c r="AA654" s="624"/>
      <c r="AB654" s="663">
        <v>39035160500</v>
      </c>
      <c r="AC654" s="663" t="s">
        <v>5586</v>
      </c>
      <c r="AD654" s="663" t="s">
        <v>4948</v>
      </c>
      <c r="AE654" s="663" t="s">
        <v>4939</v>
      </c>
      <c r="AF654" s="663" t="s">
        <v>4946</v>
      </c>
    </row>
    <row r="655" spans="1:32" s="608" customFormat="1" x14ac:dyDescent="0.25">
      <c r="A655" s="624"/>
      <c r="B655" s="617">
        <v>39035170201</v>
      </c>
      <c r="C655" s="617" t="s">
        <v>2323</v>
      </c>
      <c r="D655" s="617" t="s">
        <v>42</v>
      </c>
      <c r="E655" s="617" t="s">
        <v>4853</v>
      </c>
      <c r="F655" s="617" t="s">
        <v>26</v>
      </c>
      <c r="G655" s="624"/>
      <c r="H655" s="669">
        <v>43103</v>
      </c>
      <c r="I655" s="617" t="s">
        <v>4871</v>
      </c>
      <c r="J655" s="617" t="s">
        <v>26</v>
      </c>
      <c r="K655" s="624"/>
      <c r="O655" s="616"/>
      <c r="P655" s="616"/>
      <c r="Q655" s="616"/>
      <c r="AA655" s="624"/>
      <c r="AB655" s="663">
        <v>39035160601</v>
      </c>
      <c r="AC655" s="663" t="s">
        <v>5587</v>
      </c>
      <c r="AD655" s="663" t="s">
        <v>4948</v>
      </c>
      <c r="AE655" s="663" t="s">
        <v>4928</v>
      </c>
      <c r="AF655" s="663" t="s">
        <v>4946</v>
      </c>
    </row>
    <row r="656" spans="1:32" s="608" customFormat="1" x14ac:dyDescent="0.25">
      <c r="A656" s="624"/>
      <c r="B656" s="617">
        <v>39035170202</v>
      </c>
      <c r="C656" s="617" t="s">
        <v>2324</v>
      </c>
      <c r="D656" s="617" t="s">
        <v>42</v>
      </c>
      <c r="E656" s="617" t="s">
        <v>4853</v>
      </c>
      <c r="F656" s="617" t="s">
        <v>26</v>
      </c>
      <c r="G656" s="624"/>
      <c r="H656" s="669">
        <v>43153</v>
      </c>
      <c r="I656" s="617" t="s">
        <v>4871</v>
      </c>
      <c r="J656" s="617" t="s">
        <v>26</v>
      </c>
      <c r="K656" s="624"/>
      <c r="O656" s="616"/>
      <c r="P656" s="616"/>
      <c r="Q656" s="616"/>
      <c r="AA656" s="624"/>
      <c r="AB656" s="663">
        <v>39035160602</v>
      </c>
      <c r="AC656" s="663" t="s">
        <v>5588</v>
      </c>
      <c r="AD656" s="663" t="s">
        <v>4950</v>
      </c>
      <c r="AE656" s="663" t="s">
        <v>4931</v>
      </c>
      <c r="AF656" s="663" t="s">
        <v>4946</v>
      </c>
    </row>
    <row r="657" spans="1:32" s="608" customFormat="1" x14ac:dyDescent="0.25">
      <c r="A657" s="624"/>
      <c r="B657" s="617">
        <v>39035171102</v>
      </c>
      <c r="C657" s="617" t="s">
        <v>2325</v>
      </c>
      <c r="D657" s="617" t="s">
        <v>42</v>
      </c>
      <c r="E657" s="617" t="s">
        <v>4853</v>
      </c>
      <c r="F657" s="617" t="s">
        <v>26</v>
      </c>
      <c r="G657" s="624"/>
      <c r="H657" s="669">
        <v>44481</v>
      </c>
      <c r="I657" s="617" t="s">
        <v>4873</v>
      </c>
      <c r="J657" s="617" t="s">
        <v>26</v>
      </c>
      <c r="K657" s="624"/>
      <c r="O657" s="616"/>
      <c r="P657" s="616"/>
      <c r="Q657" s="616"/>
      <c r="AA657" s="624"/>
      <c r="AB657" s="663">
        <v>39035160700</v>
      </c>
      <c r="AC657" s="663" t="s">
        <v>5589</v>
      </c>
      <c r="AD657" s="663" t="s">
        <v>4938</v>
      </c>
      <c r="AE657" s="663" t="s">
        <v>4939</v>
      </c>
      <c r="AF657" s="663" t="s">
        <v>4946</v>
      </c>
    </row>
    <row r="658" spans="1:32" s="608" customFormat="1" x14ac:dyDescent="0.25">
      <c r="A658" s="624"/>
      <c r="B658" s="617">
        <v>39035171103</v>
      </c>
      <c r="C658" s="617" t="s">
        <v>2326</v>
      </c>
      <c r="D658" s="617" t="s">
        <v>42</v>
      </c>
      <c r="E658" s="617" t="s">
        <v>4853</v>
      </c>
      <c r="F658" s="617" t="s">
        <v>24</v>
      </c>
      <c r="G658" s="624"/>
      <c r="H658" s="669">
        <v>44440</v>
      </c>
      <c r="I658" s="617" t="s">
        <v>4873</v>
      </c>
      <c r="J658" s="617" t="s">
        <v>26</v>
      </c>
      <c r="K658" s="624"/>
      <c r="O658" s="616"/>
      <c r="P658" s="616"/>
      <c r="Q658" s="616"/>
      <c r="AA658" s="624"/>
      <c r="AB658" s="663">
        <v>39035160800</v>
      </c>
      <c r="AC658" s="663" t="s">
        <v>5590</v>
      </c>
      <c r="AD658" s="663" t="s">
        <v>4938</v>
      </c>
      <c r="AE658" s="663" t="s">
        <v>4939</v>
      </c>
      <c r="AF658" s="663" t="s">
        <v>4946</v>
      </c>
    </row>
    <row r="659" spans="1:32" s="608" customFormat="1" x14ac:dyDescent="0.25">
      <c r="A659" s="624"/>
      <c r="B659" s="617">
        <v>39035171104</v>
      </c>
      <c r="C659" s="617" t="s">
        <v>2327</v>
      </c>
      <c r="D659" s="617" t="s">
        <v>42</v>
      </c>
      <c r="E659" s="617" t="s">
        <v>4853</v>
      </c>
      <c r="F659" s="617" t="s">
        <v>24</v>
      </c>
      <c r="G659" s="624"/>
      <c r="H659" s="669">
        <v>43731</v>
      </c>
      <c r="I659" s="617" t="s">
        <v>1677</v>
      </c>
      <c r="J659" s="617" t="s">
        <v>26</v>
      </c>
      <c r="K659" s="624"/>
      <c r="O659" s="616"/>
      <c r="P659" s="616"/>
      <c r="Q659" s="616"/>
      <c r="AA659" s="624"/>
      <c r="AB659" s="663">
        <v>39035160900</v>
      </c>
      <c r="AC659" s="663" t="s">
        <v>5591</v>
      </c>
      <c r="AD659" s="663" t="s">
        <v>4948</v>
      </c>
      <c r="AE659" s="663" t="s">
        <v>4928</v>
      </c>
      <c r="AF659" s="663" t="s">
        <v>4946</v>
      </c>
    </row>
    <row r="660" spans="1:32" s="608" customFormat="1" x14ac:dyDescent="0.25">
      <c r="A660" s="624"/>
      <c r="B660" s="617">
        <v>39035171203</v>
      </c>
      <c r="C660" s="617" t="s">
        <v>2328</v>
      </c>
      <c r="D660" s="617" t="s">
        <v>42</v>
      </c>
      <c r="E660" s="617" t="s">
        <v>4853</v>
      </c>
      <c r="F660" s="617" t="s">
        <v>26</v>
      </c>
      <c r="G660" s="624"/>
      <c r="H660" s="669">
        <v>44403</v>
      </c>
      <c r="I660" s="617" t="s">
        <v>4873</v>
      </c>
      <c r="J660" s="617" t="s">
        <v>26</v>
      </c>
      <c r="K660" s="624"/>
      <c r="O660" s="616"/>
      <c r="P660" s="616"/>
      <c r="Q660" s="616"/>
      <c r="AA660" s="624"/>
      <c r="AB660" s="663">
        <v>39035161000</v>
      </c>
      <c r="AC660" s="663" t="s">
        <v>5592</v>
      </c>
      <c r="AD660" s="663" t="s">
        <v>4938</v>
      </c>
      <c r="AE660" s="663" t="s">
        <v>5332</v>
      </c>
      <c r="AF660" s="663" t="s">
        <v>4946</v>
      </c>
    </row>
    <row r="661" spans="1:32" s="608" customFormat="1" x14ac:dyDescent="0.25">
      <c r="A661" s="624"/>
      <c r="B661" s="617">
        <v>39035171204</v>
      </c>
      <c r="C661" s="617" t="s">
        <v>2329</v>
      </c>
      <c r="D661" s="617" t="s">
        <v>42</v>
      </c>
      <c r="E661" s="617" t="s">
        <v>4853</v>
      </c>
      <c r="F661" s="617" t="s">
        <v>24</v>
      </c>
      <c r="G661" s="624"/>
      <c r="H661" s="669">
        <v>45850</v>
      </c>
      <c r="I661" s="617" t="s">
        <v>4875</v>
      </c>
      <c r="J661" s="617" t="s">
        <v>26</v>
      </c>
      <c r="K661" s="624"/>
      <c r="O661" s="616"/>
      <c r="P661" s="616"/>
      <c r="Q661" s="616"/>
      <c r="AA661" s="624"/>
      <c r="AB661" s="663">
        <v>39035161100</v>
      </c>
      <c r="AC661" s="663" t="s">
        <v>5593</v>
      </c>
      <c r="AD661" s="663" t="s">
        <v>4938</v>
      </c>
      <c r="AE661" s="663" t="s">
        <v>4939</v>
      </c>
      <c r="AF661" s="663" t="s">
        <v>4946</v>
      </c>
    </row>
    <row r="662" spans="1:32" s="608" customFormat="1" x14ac:dyDescent="0.25">
      <c r="A662" s="624"/>
      <c r="B662" s="617">
        <v>39035171205</v>
      </c>
      <c r="C662" s="617" t="s">
        <v>2330</v>
      </c>
      <c r="D662" s="617" t="s">
        <v>42</v>
      </c>
      <c r="E662" s="617" t="s">
        <v>4853</v>
      </c>
      <c r="F662" s="617" t="s">
        <v>26</v>
      </c>
      <c r="G662" s="624"/>
      <c r="H662" s="669">
        <v>43730</v>
      </c>
      <c r="I662" s="617" t="s">
        <v>1677</v>
      </c>
      <c r="J662" s="617" t="s">
        <v>26</v>
      </c>
      <c r="K662" s="624"/>
      <c r="O662" s="616"/>
      <c r="P662" s="616"/>
      <c r="Q662" s="616"/>
      <c r="AA662" s="624"/>
      <c r="AB662" s="663">
        <v>39035161200</v>
      </c>
      <c r="AC662" s="663" t="s">
        <v>5594</v>
      </c>
      <c r="AD662" s="663" t="s">
        <v>4941</v>
      </c>
      <c r="AE662" s="663" t="s">
        <v>4931</v>
      </c>
      <c r="AF662" s="663" t="s">
        <v>4946</v>
      </c>
    </row>
    <row r="663" spans="1:32" s="608" customFormat="1" x14ac:dyDescent="0.25">
      <c r="A663" s="624"/>
      <c r="B663" s="617">
        <v>39035171206</v>
      </c>
      <c r="C663" s="617" t="s">
        <v>2331</v>
      </c>
      <c r="D663" s="617" t="s">
        <v>42</v>
      </c>
      <c r="E663" s="617" t="s">
        <v>4853</v>
      </c>
      <c r="F663" s="617" t="s">
        <v>26</v>
      </c>
      <c r="G663" s="624"/>
      <c r="H663" s="669">
        <v>45406</v>
      </c>
      <c r="I663" s="617" t="s">
        <v>4870</v>
      </c>
      <c r="J663" s="617" t="s">
        <v>26</v>
      </c>
      <c r="K663" s="624"/>
      <c r="O663" s="616"/>
      <c r="P663" s="616"/>
      <c r="Q663" s="616"/>
      <c r="AA663" s="624"/>
      <c r="AB663" s="663">
        <v>39035161300</v>
      </c>
      <c r="AC663" s="663" t="s">
        <v>5595</v>
      </c>
      <c r="AD663" s="663" t="s">
        <v>4941</v>
      </c>
      <c r="AE663" s="663" t="s">
        <v>4931</v>
      </c>
      <c r="AF663" s="663" t="s">
        <v>4946</v>
      </c>
    </row>
    <row r="664" spans="1:32" s="608" customFormat="1" x14ac:dyDescent="0.25">
      <c r="A664" s="624"/>
      <c r="B664" s="617">
        <v>39035172101</v>
      </c>
      <c r="C664" s="617" t="s">
        <v>2332</v>
      </c>
      <c r="D664" s="617" t="s">
        <v>42</v>
      </c>
      <c r="E664" s="617" t="s">
        <v>4853</v>
      </c>
      <c r="F664" s="617" t="s">
        <v>26</v>
      </c>
      <c r="G664" s="624"/>
      <c r="H664" s="669">
        <v>45383</v>
      </c>
      <c r="I664" s="617" t="s">
        <v>4870</v>
      </c>
      <c r="J664" s="617" t="s">
        <v>26</v>
      </c>
      <c r="K664" s="624"/>
      <c r="O664" s="616"/>
      <c r="P664" s="616"/>
      <c r="Q664" s="616"/>
      <c r="AA664" s="624"/>
      <c r="AB664" s="663">
        <v>39035161400</v>
      </c>
      <c r="AC664" s="663" t="s">
        <v>5596</v>
      </c>
      <c r="AD664" s="663" t="s">
        <v>4941</v>
      </c>
      <c r="AE664" s="663" t="s">
        <v>4931</v>
      </c>
      <c r="AF664" s="663" t="s">
        <v>4946</v>
      </c>
    </row>
    <row r="665" spans="1:32" s="608" customFormat="1" x14ac:dyDescent="0.25">
      <c r="A665" s="624"/>
      <c r="B665" s="617">
        <v>39035172102</v>
      </c>
      <c r="C665" s="617" t="s">
        <v>2333</v>
      </c>
      <c r="D665" s="617" t="s">
        <v>42</v>
      </c>
      <c r="E665" s="617" t="s">
        <v>4853</v>
      </c>
      <c r="F665" s="617" t="s">
        <v>26</v>
      </c>
      <c r="G665" s="624"/>
      <c r="H665" s="669">
        <v>45345</v>
      </c>
      <c r="I665" s="617" t="s">
        <v>4870</v>
      </c>
      <c r="J665" s="617" t="s">
        <v>26</v>
      </c>
      <c r="K665" s="624"/>
      <c r="O665" s="616"/>
      <c r="P665" s="616"/>
      <c r="Q665" s="616"/>
      <c r="AA665" s="624"/>
      <c r="AB665" s="663">
        <v>39035161500</v>
      </c>
      <c r="AC665" s="663" t="s">
        <v>5597</v>
      </c>
      <c r="AD665" s="663" t="s">
        <v>4941</v>
      </c>
      <c r="AE665" s="663" t="s">
        <v>4939</v>
      </c>
      <c r="AF665" s="663" t="s">
        <v>4946</v>
      </c>
    </row>
    <row r="666" spans="1:32" s="608" customFormat="1" x14ac:dyDescent="0.25">
      <c r="A666" s="624"/>
      <c r="B666" s="617">
        <v>39035172104</v>
      </c>
      <c r="C666" s="617" t="s">
        <v>2334</v>
      </c>
      <c r="D666" s="617" t="s">
        <v>42</v>
      </c>
      <c r="E666" s="617" t="s">
        <v>4853</v>
      </c>
      <c r="F666" s="617" t="s">
        <v>26</v>
      </c>
      <c r="G666" s="624"/>
      <c r="H666" s="669">
        <v>44109</v>
      </c>
      <c r="I666" s="617" t="s">
        <v>4869</v>
      </c>
      <c r="J666" s="617" t="s">
        <v>26</v>
      </c>
      <c r="K666" s="624"/>
      <c r="O666" s="616"/>
      <c r="P666" s="616"/>
      <c r="Q666" s="616"/>
      <c r="AA666" s="624"/>
      <c r="AB666" s="663">
        <v>39035161600</v>
      </c>
      <c r="AC666" s="663" t="s">
        <v>5598</v>
      </c>
      <c r="AD666" s="663" t="s">
        <v>4948</v>
      </c>
      <c r="AE666" s="663" t="s">
        <v>4934</v>
      </c>
      <c r="AF666" s="663" t="s">
        <v>4946</v>
      </c>
    </row>
    <row r="667" spans="1:32" s="608" customFormat="1" x14ac:dyDescent="0.25">
      <c r="A667" s="624"/>
      <c r="B667" s="617">
        <v>39035172105</v>
      </c>
      <c r="C667" s="617" t="s">
        <v>2335</v>
      </c>
      <c r="D667" s="617" t="s">
        <v>42</v>
      </c>
      <c r="E667" s="617" t="s">
        <v>4853</v>
      </c>
      <c r="F667" s="617" t="s">
        <v>26</v>
      </c>
      <c r="G667" s="624"/>
      <c r="H667" s="669">
        <v>44235</v>
      </c>
      <c r="I667" s="617" t="s">
        <v>4869</v>
      </c>
      <c r="J667" s="617" t="s">
        <v>26</v>
      </c>
      <c r="K667" s="624"/>
      <c r="O667" s="616"/>
      <c r="P667" s="616"/>
      <c r="Q667" s="616"/>
      <c r="AA667" s="624"/>
      <c r="AB667" s="663">
        <v>39035161700</v>
      </c>
      <c r="AC667" s="663" t="s">
        <v>5599</v>
      </c>
      <c r="AD667" s="663" t="s">
        <v>4927</v>
      </c>
      <c r="AE667" s="663" t="s">
        <v>4942</v>
      </c>
      <c r="AF667" s="663" t="s">
        <v>4946</v>
      </c>
    </row>
    <row r="668" spans="1:32" s="608" customFormat="1" x14ac:dyDescent="0.25">
      <c r="A668" s="624"/>
      <c r="B668" s="617">
        <v>39035172201</v>
      </c>
      <c r="C668" s="617" t="s">
        <v>2336</v>
      </c>
      <c r="D668" s="617" t="s">
        <v>42</v>
      </c>
      <c r="E668" s="617" t="s">
        <v>4853</v>
      </c>
      <c r="F668" s="617" t="s">
        <v>26</v>
      </c>
      <c r="G668" s="624"/>
      <c r="H668" s="669">
        <v>44830</v>
      </c>
      <c r="I668" s="617" t="s">
        <v>4872</v>
      </c>
      <c r="J668" s="617" t="s">
        <v>26</v>
      </c>
      <c r="K668" s="624"/>
      <c r="O668" s="616"/>
      <c r="P668" s="616"/>
      <c r="Q668" s="616"/>
      <c r="AA668" s="624"/>
      <c r="AB668" s="663">
        <v>39035161800</v>
      </c>
      <c r="AC668" s="663" t="s">
        <v>5600</v>
      </c>
      <c r="AD668" s="663" t="s">
        <v>4927</v>
      </c>
      <c r="AE668" s="663" t="s">
        <v>4931</v>
      </c>
      <c r="AF668" s="663" t="s">
        <v>4946</v>
      </c>
    </row>
    <row r="669" spans="1:32" s="608" customFormat="1" x14ac:dyDescent="0.25">
      <c r="A669" s="624"/>
      <c r="B669" s="617">
        <v>39035172202</v>
      </c>
      <c r="C669" s="617" t="s">
        <v>2337</v>
      </c>
      <c r="D669" s="617" t="s">
        <v>42</v>
      </c>
      <c r="E669" s="617" t="s">
        <v>4853</v>
      </c>
      <c r="F669" s="617" t="s">
        <v>26</v>
      </c>
      <c r="G669" s="624"/>
      <c r="H669" s="669">
        <v>47025</v>
      </c>
      <c r="I669" s="617" t="s">
        <v>4867</v>
      </c>
      <c r="J669" s="617" t="s">
        <v>26</v>
      </c>
      <c r="K669" s="624"/>
      <c r="O669" s="616"/>
      <c r="P669" s="616"/>
      <c r="Q669" s="616"/>
      <c r="AA669" s="624"/>
      <c r="AB669" s="663">
        <v>39035170101</v>
      </c>
      <c r="AC669" s="663" t="s">
        <v>5601</v>
      </c>
      <c r="AD669" s="663" t="s">
        <v>4941</v>
      </c>
      <c r="AE669" s="663" t="s">
        <v>4928</v>
      </c>
      <c r="AF669" s="663" t="s">
        <v>4946</v>
      </c>
    </row>
    <row r="670" spans="1:32" s="608" customFormat="1" x14ac:dyDescent="0.25">
      <c r="A670" s="624"/>
      <c r="B670" s="617">
        <v>39035173103</v>
      </c>
      <c r="C670" s="617" t="s">
        <v>2338</v>
      </c>
      <c r="D670" s="617" t="s">
        <v>42</v>
      </c>
      <c r="E670" s="617" t="s">
        <v>4853</v>
      </c>
      <c r="F670" s="617" t="s">
        <v>26</v>
      </c>
      <c r="G670" s="624"/>
      <c r="H670" s="669">
        <v>41059</v>
      </c>
      <c r="I670" s="617" t="s">
        <v>4867</v>
      </c>
      <c r="J670" s="617" t="s">
        <v>26</v>
      </c>
      <c r="K670" s="624"/>
      <c r="O670" s="616"/>
      <c r="P670" s="616"/>
      <c r="Q670" s="616"/>
      <c r="AA670" s="624"/>
      <c r="AB670" s="663">
        <v>39035170102</v>
      </c>
      <c r="AC670" s="663" t="s">
        <v>5602</v>
      </c>
      <c r="AD670" s="663" t="s">
        <v>4941</v>
      </c>
      <c r="AE670" s="663" t="s">
        <v>4931</v>
      </c>
      <c r="AF670" s="663" t="s">
        <v>4946</v>
      </c>
    </row>
    <row r="671" spans="1:32" s="608" customFormat="1" x14ac:dyDescent="0.25">
      <c r="A671" s="624"/>
      <c r="B671" s="617">
        <v>39035173104</v>
      </c>
      <c r="C671" s="617" t="s">
        <v>2339</v>
      </c>
      <c r="D671" s="617" t="s">
        <v>42</v>
      </c>
      <c r="E671" s="617" t="s">
        <v>4853</v>
      </c>
      <c r="F671" s="617" t="s">
        <v>26</v>
      </c>
      <c r="G671" s="624"/>
      <c r="H671" s="669">
        <v>47012</v>
      </c>
      <c r="I671" s="617" t="s">
        <v>4867</v>
      </c>
      <c r="J671" s="617" t="s">
        <v>26</v>
      </c>
      <c r="K671" s="624"/>
      <c r="O671" s="616"/>
      <c r="P671" s="616"/>
      <c r="Q671" s="616"/>
      <c r="AA671" s="624"/>
      <c r="AB671" s="663">
        <v>39035170201</v>
      </c>
      <c r="AC671" s="663" t="s">
        <v>5603</v>
      </c>
      <c r="AD671" s="663" t="s">
        <v>4941</v>
      </c>
      <c r="AE671" s="663" t="s">
        <v>4931</v>
      </c>
      <c r="AF671" s="663" t="s">
        <v>4946</v>
      </c>
    </row>
    <row r="672" spans="1:32" s="608" customFormat="1" x14ac:dyDescent="0.25">
      <c r="A672" s="624"/>
      <c r="B672" s="617">
        <v>39035173105</v>
      </c>
      <c r="C672" s="617" t="s">
        <v>2340</v>
      </c>
      <c r="D672" s="617" t="s">
        <v>42</v>
      </c>
      <c r="E672" s="617" t="s">
        <v>4853</v>
      </c>
      <c r="F672" s="617" t="s">
        <v>26</v>
      </c>
      <c r="G672" s="624"/>
      <c r="H672" s="669">
        <v>43945</v>
      </c>
      <c r="I672" s="617" t="s">
        <v>4874</v>
      </c>
      <c r="J672" s="617" t="s">
        <v>26</v>
      </c>
      <c r="K672" s="624"/>
      <c r="O672" s="616"/>
      <c r="P672" s="616"/>
      <c r="Q672" s="616"/>
      <c r="AA672" s="624"/>
      <c r="AB672" s="663">
        <v>39035170202</v>
      </c>
      <c r="AC672" s="663" t="s">
        <v>5604</v>
      </c>
      <c r="AD672" s="663" t="s">
        <v>4941</v>
      </c>
      <c r="AE672" s="663" t="s">
        <v>4931</v>
      </c>
      <c r="AF672" s="663" t="s">
        <v>4946</v>
      </c>
    </row>
    <row r="673" spans="1:32" s="608" customFormat="1" x14ac:dyDescent="0.25">
      <c r="A673" s="624"/>
      <c r="B673" s="617">
        <v>39035173106</v>
      </c>
      <c r="C673" s="617" t="s">
        <v>2341</v>
      </c>
      <c r="D673" s="617" t="s">
        <v>42</v>
      </c>
      <c r="E673" s="617" t="s">
        <v>4853</v>
      </c>
      <c r="F673" s="617" t="s">
        <v>26</v>
      </c>
      <c r="G673" s="624"/>
      <c r="H673" s="669">
        <v>43015</v>
      </c>
      <c r="I673" s="617" t="s">
        <v>1678</v>
      </c>
      <c r="J673" s="617" t="s">
        <v>26</v>
      </c>
      <c r="K673" s="624"/>
      <c r="O673" s="616"/>
      <c r="P673" s="616"/>
      <c r="Q673" s="616"/>
      <c r="AA673" s="624"/>
      <c r="AB673" s="663">
        <v>39035171102</v>
      </c>
      <c r="AC673" s="663" t="s">
        <v>5605</v>
      </c>
      <c r="AD673" s="663" t="s">
        <v>4927</v>
      </c>
      <c r="AE673" s="663" t="s">
        <v>4942</v>
      </c>
      <c r="AF673" s="663" t="s">
        <v>4946</v>
      </c>
    </row>
    <row r="674" spans="1:32" s="608" customFormat="1" x14ac:dyDescent="0.25">
      <c r="A674" s="624"/>
      <c r="B674" s="617">
        <v>39035173107</v>
      </c>
      <c r="C674" s="617" t="s">
        <v>2342</v>
      </c>
      <c r="D674" s="617" t="s">
        <v>42</v>
      </c>
      <c r="E674" s="617" t="s">
        <v>4853</v>
      </c>
      <c r="F674" s="617" t="s">
        <v>26</v>
      </c>
      <c r="G674" s="624"/>
      <c r="H674" s="669">
        <v>43315</v>
      </c>
      <c r="I674" s="617" t="s">
        <v>4871</v>
      </c>
      <c r="J674" s="617" t="s">
        <v>26</v>
      </c>
      <c r="K674" s="624"/>
      <c r="O674" s="616"/>
      <c r="P674" s="616"/>
      <c r="Q674" s="616"/>
      <c r="AA674" s="624"/>
      <c r="AB674" s="663">
        <v>39035171103</v>
      </c>
      <c r="AC674" s="663" t="s">
        <v>5606</v>
      </c>
      <c r="AD674" s="663" t="s">
        <v>4927</v>
      </c>
      <c r="AE674" s="663" t="s">
        <v>4928</v>
      </c>
      <c r="AF674" s="663" t="s">
        <v>4946</v>
      </c>
    </row>
    <row r="675" spans="1:32" s="608" customFormat="1" x14ac:dyDescent="0.25">
      <c r="A675" s="624"/>
      <c r="B675" s="617">
        <v>39035174103</v>
      </c>
      <c r="C675" s="617" t="s">
        <v>2343</v>
      </c>
      <c r="D675" s="617" t="s">
        <v>42</v>
      </c>
      <c r="E675" s="617" t="s">
        <v>4853</v>
      </c>
      <c r="F675" s="617" t="s">
        <v>26</v>
      </c>
      <c r="G675" s="624"/>
      <c r="H675" s="669">
        <v>45644</v>
      </c>
      <c r="I675" s="617" t="s">
        <v>4871</v>
      </c>
      <c r="J675" s="617" t="s">
        <v>26</v>
      </c>
      <c r="K675" s="624"/>
      <c r="O675" s="616"/>
      <c r="P675" s="616"/>
      <c r="Q675" s="616"/>
      <c r="AA675" s="624"/>
      <c r="AB675" s="663">
        <v>39035171104</v>
      </c>
      <c r="AC675" s="663" t="s">
        <v>5607</v>
      </c>
      <c r="AD675" s="663" t="s">
        <v>4927</v>
      </c>
      <c r="AE675" s="663" t="s">
        <v>4934</v>
      </c>
      <c r="AF675" s="663" t="s">
        <v>4946</v>
      </c>
    </row>
    <row r="676" spans="1:32" s="608" customFormat="1" x14ac:dyDescent="0.25">
      <c r="A676" s="624"/>
      <c r="B676" s="617">
        <v>39035174104</v>
      </c>
      <c r="C676" s="617" t="s">
        <v>2344</v>
      </c>
      <c r="D676" s="617" t="s">
        <v>42</v>
      </c>
      <c r="E676" s="617" t="s">
        <v>4853</v>
      </c>
      <c r="F676" s="617" t="s">
        <v>26</v>
      </c>
      <c r="G676" s="624"/>
      <c r="H676" s="669">
        <v>43029</v>
      </c>
      <c r="I676" s="617" t="s">
        <v>4871</v>
      </c>
      <c r="J676" s="617" t="s">
        <v>26</v>
      </c>
      <c r="K676" s="624"/>
      <c r="O676" s="616"/>
      <c r="P676" s="616"/>
      <c r="Q676" s="616"/>
      <c r="AA676" s="624"/>
      <c r="AB676" s="663">
        <v>39035171203</v>
      </c>
      <c r="AC676" s="663" t="s">
        <v>5608</v>
      </c>
      <c r="AD676" s="663" t="s">
        <v>4927</v>
      </c>
      <c r="AE676" s="663" t="s">
        <v>4928</v>
      </c>
      <c r="AF676" s="663" t="s">
        <v>4946</v>
      </c>
    </row>
    <row r="677" spans="1:32" s="608" customFormat="1" x14ac:dyDescent="0.25">
      <c r="A677" s="624"/>
      <c r="B677" s="617">
        <v>39035174105</v>
      </c>
      <c r="C677" s="617" t="s">
        <v>2345</v>
      </c>
      <c r="D677" s="617" t="s">
        <v>42</v>
      </c>
      <c r="E677" s="617" t="s">
        <v>4853</v>
      </c>
      <c r="F677" s="617" t="s">
        <v>26</v>
      </c>
      <c r="G677" s="624"/>
      <c r="H677" s="669">
        <v>43033</v>
      </c>
      <c r="I677" s="617" t="s">
        <v>4871</v>
      </c>
      <c r="J677" s="617" t="s">
        <v>26</v>
      </c>
      <c r="K677" s="624"/>
      <c r="O677" s="616"/>
      <c r="P677" s="616"/>
      <c r="Q677" s="616"/>
      <c r="AA677" s="624"/>
      <c r="AB677" s="663">
        <v>39035171204</v>
      </c>
      <c r="AC677" s="663" t="s">
        <v>5609</v>
      </c>
      <c r="AD677" s="663" t="s">
        <v>4950</v>
      </c>
      <c r="AE677" s="663" t="s">
        <v>4942</v>
      </c>
      <c r="AF677" s="663" t="s">
        <v>4946</v>
      </c>
    </row>
    <row r="678" spans="1:32" s="608" customFormat="1" x14ac:dyDescent="0.25">
      <c r="A678" s="624"/>
      <c r="B678" s="617">
        <v>39035174106</v>
      </c>
      <c r="C678" s="617" t="s">
        <v>2346</v>
      </c>
      <c r="D678" s="617" t="s">
        <v>42</v>
      </c>
      <c r="E678" s="617" t="s">
        <v>4853</v>
      </c>
      <c r="F678" s="617" t="s">
        <v>26</v>
      </c>
      <c r="G678" s="624"/>
      <c r="H678" s="669">
        <v>43321</v>
      </c>
      <c r="I678" s="617" t="s">
        <v>4871</v>
      </c>
      <c r="J678" s="617" t="s">
        <v>26</v>
      </c>
      <c r="K678" s="624"/>
      <c r="O678" s="616"/>
      <c r="P678" s="616"/>
      <c r="Q678" s="616"/>
      <c r="AA678" s="624"/>
      <c r="AB678" s="663">
        <v>39035171205</v>
      </c>
      <c r="AC678" s="663" t="s">
        <v>5610</v>
      </c>
      <c r="AD678" s="663" t="s">
        <v>4927</v>
      </c>
      <c r="AE678" s="663" t="s">
        <v>4942</v>
      </c>
      <c r="AF678" s="663" t="s">
        <v>4946</v>
      </c>
    </row>
    <row r="679" spans="1:32" s="608" customFormat="1" x14ac:dyDescent="0.25">
      <c r="A679" s="624"/>
      <c r="B679" s="617">
        <v>39035174107</v>
      </c>
      <c r="C679" s="617" t="s">
        <v>2347</v>
      </c>
      <c r="D679" s="617" t="s">
        <v>42</v>
      </c>
      <c r="E679" s="617" t="s">
        <v>4853</v>
      </c>
      <c r="F679" s="617" t="s">
        <v>26</v>
      </c>
      <c r="G679" s="624"/>
      <c r="H679" s="669">
        <v>43432</v>
      </c>
      <c r="I679" s="617" t="s">
        <v>1676</v>
      </c>
      <c r="J679" s="617" t="s">
        <v>26</v>
      </c>
      <c r="K679" s="624"/>
      <c r="O679" s="616"/>
      <c r="P679" s="616"/>
      <c r="Q679" s="616"/>
      <c r="AA679" s="624"/>
      <c r="AB679" s="663">
        <v>39035171206</v>
      </c>
      <c r="AC679" s="663" t="s">
        <v>5611</v>
      </c>
      <c r="AD679" s="663" t="s">
        <v>4927</v>
      </c>
      <c r="AE679" s="663" t="s">
        <v>4928</v>
      </c>
      <c r="AF679" s="663" t="s">
        <v>4946</v>
      </c>
    </row>
    <row r="680" spans="1:32" s="608" customFormat="1" x14ac:dyDescent="0.25">
      <c r="A680" s="624"/>
      <c r="B680" s="617">
        <v>39035174203</v>
      </c>
      <c r="C680" s="617" t="s">
        <v>2348</v>
      </c>
      <c r="D680" s="617" t="s">
        <v>42</v>
      </c>
      <c r="E680" s="617" t="s">
        <v>4853</v>
      </c>
      <c r="F680" s="617" t="s">
        <v>26</v>
      </c>
      <c r="G680" s="624"/>
      <c r="H680" s="669">
        <v>44505</v>
      </c>
      <c r="I680" s="617" t="s">
        <v>4873</v>
      </c>
      <c r="J680" s="617" t="s">
        <v>26</v>
      </c>
      <c r="K680" s="624"/>
      <c r="O680" s="616"/>
      <c r="P680" s="616"/>
      <c r="Q680" s="616"/>
      <c r="AA680" s="624"/>
      <c r="AB680" s="663">
        <v>39035172101</v>
      </c>
      <c r="AC680" s="663" t="s">
        <v>5612</v>
      </c>
      <c r="AD680" s="663" t="s">
        <v>4941</v>
      </c>
      <c r="AE680" s="663" t="s">
        <v>4928</v>
      </c>
      <c r="AF680" s="663" t="s">
        <v>4946</v>
      </c>
    </row>
    <row r="681" spans="1:32" s="608" customFormat="1" x14ac:dyDescent="0.25">
      <c r="A681" s="624"/>
      <c r="B681" s="617">
        <v>39035174204</v>
      </c>
      <c r="C681" s="617" t="s">
        <v>2349</v>
      </c>
      <c r="D681" s="617" t="s">
        <v>42</v>
      </c>
      <c r="E681" s="617" t="s">
        <v>4853</v>
      </c>
      <c r="F681" s="617" t="s">
        <v>26</v>
      </c>
      <c r="G681" s="624"/>
      <c r="H681" s="669">
        <v>44402</v>
      </c>
      <c r="I681" s="617" t="s">
        <v>4873</v>
      </c>
      <c r="J681" s="617" t="s">
        <v>26</v>
      </c>
      <c r="K681" s="624"/>
      <c r="O681" s="616"/>
      <c r="P681" s="616"/>
      <c r="Q681" s="616"/>
      <c r="AA681" s="624"/>
      <c r="AB681" s="663">
        <v>39035172102</v>
      </c>
      <c r="AC681" s="663" t="s">
        <v>5613</v>
      </c>
      <c r="AD681" s="663" t="s">
        <v>4938</v>
      </c>
      <c r="AE681" s="663" t="s">
        <v>4928</v>
      </c>
      <c r="AF681" s="663" t="s">
        <v>4946</v>
      </c>
    </row>
    <row r="682" spans="1:32" s="608" customFormat="1" x14ac:dyDescent="0.25">
      <c r="A682" s="624"/>
      <c r="B682" s="617">
        <v>39035174205</v>
      </c>
      <c r="C682" s="617" t="s">
        <v>2350</v>
      </c>
      <c r="D682" s="617" t="s">
        <v>42</v>
      </c>
      <c r="E682" s="617" t="s">
        <v>4853</v>
      </c>
      <c r="F682" s="617" t="s">
        <v>26</v>
      </c>
      <c r="G682" s="624"/>
      <c r="H682" s="669">
        <v>44450</v>
      </c>
      <c r="I682" s="617" t="s">
        <v>4873</v>
      </c>
      <c r="J682" s="617" t="s">
        <v>26</v>
      </c>
      <c r="K682" s="624"/>
      <c r="O682" s="616"/>
      <c r="P682" s="616"/>
      <c r="Q682" s="616"/>
      <c r="AA682" s="624"/>
      <c r="AB682" s="663">
        <v>39035172103</v>
      </c>
      <c r="AC682" s="663" t="s">
        <v>5614</v>
      </c>
      <c r="AD682" s="663" t="s">
        <v>4941</v>
      </c>
      <c r="AE682" s="663" t="s">
        <v>4931</v>
      </c>
      <c r="AF682" s="663" t="s">
        <v>4946</v>
      </c>
    </row>
    <row r="683" spans="1:32" s="608" customFormat="1" x14ac:dyDescent="0.25">
      <c r="A683" s="624"/>
      <c r="B683" s="617">
        <v>39035174206</v>
      </c>
      <c r="C683" s="617" t="s">
        <v>2351</v>
      </c>
      <c r="D683" s="617" t="s">
        <v>42</v>
      </c>
      <c r="E683" s="617" t="s">
        <v>4853</v>
      </c>
      <c r="F683" s="617" t="s">
        <v>26</v>
      </c>
      <c r="G683" s="624"/>
      <c r="H683" s="669">
        <v>44311</v>
      </c>
      <c r="I683" s="617" t="s">
        <v>4868</v>
      </c>
      <c r="J683" s="617" t="s">
        <v>26</v>
      </c>
      <c r="K683" s="624"/>
      <c r="O683" s="616"/>
      <c r="P683" s="616"/>
      <c r="Q683" s="616"/>
      <c r="AA683" s="624"/>
      <c r="AB683" s="663">
        <v>39035172201</v>
      </c>
      <c r="AC683" s="663" t="s">
        <v>5615</v>
      </c>
      <c r="AD683" s="663" t="s">
        <v>4938</v>
      </c>
      <c r="AE683" s="663" t="s">
        <v>4934</v>
      </c>
      <c r="AF683" s="663" t="s">
        <v>4946</v>
      </c>
    </row>
    <row r="684" spans="1:32" s="608" customFormat="1" x14ac:dyDescent="0.25">
      <c r="A684" s="624"/>
      <c r="B684" s="617">
        <v>39035174207</v>
      </c>
      <c r="C684" s="617" t="s">
        <v>2352</v>
      </c>
      <c r="D684" s="617" t="s">
        <v>42</v>
      </c>
      <c r="E684" s="617" t="s">
        <v>4853</v>
      </c>
      <c r="F684" s="617" t="s">
        <v>26</v>
      </c>
      <c r="G684" s="624"/>
      <c r="H684" s="669">
        <v>44052</v>
      </c>
      <c r="I684" s="617" t="s">
        <v>4869</v>
      </c>
      <c r="J684" s="617" t="s">
        <v>26</v>
      </c>
      <c r="K684" s="624"/>
      <c r="O684" s="616"/>
      <c r="P684" s="616"/>
      <c r="Q684" s="616"/>
      <c r="AA684" s="624"/>
      <c r="AB684" s="663">
        <v>39035172202</v>
      </c>
      <c r="AC684" s="663" t="s">
        <v>5616</v>
      </c>
      <c r="AD684" s="663" t="s">
        <v>4938</v>
      </c>
      <c r="AE684" s="663" t="s">
        <v>4931</v>
      </c>
      <c r="AF684" s="663" t="s">
        <v>4946</v>
      </c>
    </row>
    <row r="685" spans="1:32" s="608" customFormat="1" x14ac:dyDescent="0.25">
      <c r="A685" s="624"/>
      <c r="B685" s="617">
        <v>39035175105</v>
      </c>
      <c r="C685" s="617" t="s">
        <v>2353</v>
      </c>
      <c r="D685" s="617" t="s">
        <v>42</v>
      </c>
      <c r="E685" s="617" t="s">
        <v>4853</v>
      </c>
      <c r="F685" s="617" t="s">
        <v>26</v>
      </c>
      <c r="G685" s="624"/>
      <c r="H685" s="669">
        <v>44110</v>
      </c>
      <c r="I685" s="617" t="s">
        <v>4869</v>
      </c>
      <c r="J685" s="617" t="s">
        <v>26</v>
      </c>
      <c r="K685" s="624"/>
      <c r="O685" s="616"/>
      <c r="P685" s="616"/>
      <c r="Q685" s="616"/>
      <c r="AA685" s="624"/>
      <c r="AB685" s="663">
        <v>39035173103</v>
      </c>
      <c r="AC685" s="663" t="s">
        <v>5617</v>
      </c>
      <c r="AD685" s="663" t="s">
        <v>4941</v>
      </c>
      <c r="AE685" s="663" t="s">
        <v>4931</v>
      </c>
      <c r="AF685" s="663" t="s">
        <v>4946</v>
      </c>
    </row>
    <row r="686" spans="1:32" s="608" customFormat="1" x14ac:dyDescent="0.25">
      <c r="A686" s="624"/>
      <c r="B686" s="617">
        <v>39035175106</v>
      </c>
      <c r="C686" s="617" t="s">
        <v>2354</v>
      </c>
      <c r="D686" s="617" t="s">
        <v>42</v>
      </c>
      <c r="E686" s="617" t="s">
        <v>4853</v>
      </c>
      <c r="F686" s="617" t="s">
        <v>26</v>
      </c>
      <c r="G686" s="624"/>
      <c r="H686" s="669">
        <v>44062</v>
      </c>
      <c r="I686" s="617" t="s">
        <v>4869</v>
      </c>
      <c r="J686" s="617" t="s">
        <v>26</v>
      </c>
      <c r="K686" s="624"/>
      <c r="O686" s="616"/>
      <c r="P686" s="616"/>
      <c r="Q686" s="616"/>
      <c r="AA686" s="624"/>
      <c r="AB686" s="663">
        <v>39035173104</v>
      </c>
      <c r="AC686" s="663" t="s">
        <v>5618</v>
      </c>
      <c r="AD686" s="663" t="s">
        <v>4941</v>
      </c>
      <c r="AE686" s="663" t="s">
        <v>4934</v>
      </c>
      <c r="AF686" s="663" t="s">
        <v>4946</v>
      </c>
    </row>
    <row r="687" spans="1:32" s="608" customFormat="1" x14ac:dyDescent="0.25">
      <c r="A687" s="624"/>
      <c r="B687" s="617">
        <v>39035175107</v>
      </c>
      <c r="C687" s="617" t="s">
        <v>2355</v>
      </c>
      <c r="D687" s="617" t="s">
        <v>42</v>
      </c>
      <c r="E687" s="617" t="s">
        <v>4853</v>
      </c>
      <c r="F687" s="617" t="s">
        <v>26</v>
      </c>
      <c r="G687" s="624"/>
      <c r="H687" s="669">
        <v>44046</v>
      </c>
      <c r="I687" s="617" t="s">
        <v>4869</v>
      </c>
      <c r="J687" s="617" t="s">
        <v>26</v>
      </c>
      <c r="K687" s="624"/>
      <c r="O687" s="616"/>
      <c r="P687" s="616"/>
      <c r="Q687" s="616"/>
      <c r="AA687" s="624"/>
      <c r="AB687" s="663">
        <v>39035173105</v>
      </c>
      <c r="AC687" s="663" t="s">
        <v>5619</v>
      </c>
      <c r="AD687" s="663" t="s">
        <v>4938</v>
      </c>
      <c r="AE687" s="663" t="s">
        <v>4931</v>
      </c>
      <c r="AF687" s="663" t="s">
        <v>4946</v>
      </c>
    </row>
    <row r="688" spans="1:32" s="608" customFormat="1" x14ac:dyDescent="0.25">
      <c r="A688" s="624"/>
      <c r="B688" s="617">
        <v>39035175108</v>
      </c>
      <c r="C688" s="617" t="s">
        <v>2356</v>
      </c>
      <c r="D688" s="617" t="s">
        <v>42</v>
      </c>
      <c r="E688" s="617" t="s">
        <v>4853</v>
      </c>
      <c r="F688" s="617" t="s">
        <v>26</v>
      </c>
      <c r="G688" s="624"/>
      <c r="H688" s="669">
        <v>44231</v>
      </c>
      <c r="I688" s="617" t="s">
        <v>4869</v>
      </c>
      <c r="J688" s="617" t="s">
        <v>26</v>
      </c>
      <c r="K688" s="624"/>
      <c r="O688" s="616"/>
      <c r="P688" s="616"/>
      <c r="Q688" s="616"/>
      <c r="AA688" s="624"/>
      <c r="AB688" s="663">
        <v>39035173106</v>
      </c>
      <c r="AC688" s="663" t="s">
        <v>5620</v>
      </c>
      <c r="AD688" s="663" t="s">
        <v>4941</v>
      </c>
      <c r="AE688" s="663" t="s">
        <v>4931</v>
      </c>
      <c r="AF688" s="663" t="s">
        <v>4946</v>
      </c>
    </row>
    <row r="689" spans="1:32" s="608" customFormat="1" x14ac:dyDescent="0.25">
      <c r="A689" s="624"/>
      <c r="B689" s="617">
        <v>39035175109</v>
      </c>
      <c r="C689" s="617" t="s">
        <v>2357</v>
      </c>
      <c r="D689" s="617" t="s">
        <v>42</v>
      </c>
      <c r="E689" s="617" t="s">
        <v>4853</v>
      </c>
      <c r="F689" s="617" t="s">
        <v>26</v>
      </c>
      <c r="G689" s="624"/>
      <c r="H689" s="669">
        <v>45211</v>
      </c>
      <c r="I689" s="617" t="s">
        <v>4867</v>
      </c>
      <c r="J689" s="617" t="s">
        <v>26</v>
      </c>
      <c r="K689" s="624"/>
      <c r="O689" s="616"/>
      <c r="P689" s="616"/>
      <c r="Q689" s="616"/>
      <c r="AA689" s="624"/>
      <c r="AB689" s="663">
        <v>39035173107</v>
      </c>
      <c r="AC689" s="663" t="s">
        <v>5621</v>
      </c>
      <c r="AD689" s="663" t="s">
        <v>4941</v>
      </c>
      <c r="AE689" s="663" t="s">
        <v>4928</v>
      </c>
      <c r="AF689" s="663" t="s">
        <v>4946</v>
      </c>
    </row>
    <row r="690" spans="1:32" s="608" customFormat="1" x14ac:dyDescent="0.25">
      <c r="A690" s="624"/>
      <c r="B690" s="617">
        <v>39035175110</v>
      </c>
      <c r="C690" s="617" t="s">
        <v>2358</v>
      </c>
      <c r="D690" s="617" t="s">
        <v>42</v>
      </c>
      <c r="E690" s="617" t="s">
        <v>4853</v>
      </c>
      <c r="F690" s="617" t="s">
        <v>26</v>
      </c>
      <c r="G690" s="624"/>
      <c r="H690" s="669">
        <v>41015</v>
      </c>
      <c r="I690" s="617" t="s">
        <v>4867</v>
      </c>
      <c r="J690" s="617" t="s">
        <v>26</v>
      </c>
      <c r="K690" s="624"/>
      <c r="O690" s="616"/>
      <c r="P690" s="616"/>
      <c r="Q690" s="616"/>
      <c r="AA690" s="624"/>
      <c r="AB690" s="663">
        <v>39035174103</v>
      </c>
      <c r="AC690" s="663" t="s">
        <v>5622</v>
      </c>
      <c r="AD690" s="663" t="s">
        <v>4950</v>
      </c>
      <c r="AE690" s="663" t="s">
        <v>4928</v>
      </c>
      <c r="AF690" s="663" t="s">
        <v>4946</v>
      </c>
    </row>
    <row r="691" spans="1:32" s="608" customFormat="1" x14ac:dyDescent="0.25">
      <c r="A691" s="624"/>
      <c r="B691" s="617">
        <v>39035175201</v>
      </c>
      <c r="C691" s="617" t="s">
        <v>2359</v>
      </c>
      <c r="D691" s="617" t="s">
        <v>42</v>
      </c>
      <c r="E691" s="617" t="s">
        <v>4853</v>
      </c>
      <c r="F691" s="617" t="s">
        <v>26</v>
      </c>
      <c r="G691" s="624"/>
      <c r="H691" s="669">
        <v>45205</v>
      </c>
      <c r="I691" s="617" t="s">
        <v>4867</v>
      </c>
      <c r="J691" s="617" t="s">
        <v>26</v>
      </c>
      <c r="K691" s="624"/>
      <c r="O691" s="616"/>
      <c r="P691" s="616"/>
      <c r="Q691" s="616"/>
      <c r="AA691" s="624"/>
      <c r="AB691" s="663">
        <v>39035174104</v>
      </c>
      <c r="AC691" s="663" t="s">
        <v>5623</v>
      </c>
      <c r="AD691" s="663" t="s">
        <v>4948</v>
      </c>
      <c r="AE691" s="663" t="s">
        <v>4928</v>
      </c>
      <c r="AF691" s="663" t="s">
        <v>4946</v>
      </c>
    </row>
    <row r="692" spans="1:32" s="608" customFormat="1" x14ac:dyDescent="0.25">
      <c r="A692" s="624"/>
      <c r="B692" s="617">
        <v>39035175202</v>
      </c>
      <c r="C692" s="617" t="s">
        <v>2360</v>
      </c>
      <c r="D692" s="617" t="s">
        <v>42</v>
      </c>
      <c r="E692" s="617" t="s">
        <v>4853</v>
      </c>
      <c r="F692" s="617" t="s">
        <v>26</v>
      </c>
      <c r="G692" s="624"/>
      <c r="H692" s="669">
        <v>45157</v>
      </c>
      <c r="I692" s="617" t="s">
        <v>4867</v>
      </c>
      <c r="J692" s="617" t="s">
        <v>26</v>
      </c>
      <c r="K692" s="624"/>
      <c r="O692" s="616"/>
      <c r="P692" s="616"/>
      <c r="Q692" s="616"/>
      <c r="AA692" s="624"/>
      <c r="AB692" s="663">
        <v>39035174105</v>
      </c>
      <c r="AC692" s="663" t="s">
        <v>5624</v>
      </c>
      <c r="AD692" s="663" t="s">
        <v>4938</v>
      </c>
      <c r="AE692" s="663" t="s">
        <v>4942</v>
      </c>
      <c r="AF692" s="663" t="s">
        <v>4946</v>
      </c>
    </row>
    <row r="693" spans="1:32" s="608" customFormat="1" x14ac:dyDescent="0.25">
      <c r="A693" s="624"/>
      <c r="B693" s="617">
        <v>39035176100</v>
      </c>
      <c r="C693" s="617" t="s">
        <v>2361</v>
      </c>
      <c r="D693" s="617" t="s">
        <v>42</v>
      </c>
      <c r="E693" s="617" t="s">
        <v>4853</v>
      </c>
      <c r="F693" s="617" t="s">
        <v>26</v>
      </c>
      <c r="G693" s="624"/>
      <c r="H693" s="669">
        <v>45217</v>
      </c>
      <c r="I693" s="617" t="s">
        <v>4867</v>
      </c>
      <c r="J693" s="617" t="s">
        <v>26</v>
      </c>
      <c r="K693" s="624"/>
      <c r="O693" s="616"/>
      <c r="P693" s="616"/>
      <c r="Q693" s="616"/>
      <c r="AA693" s="624"/>
      <c r="AB693" s="663">
        <v>39035174106</v>
      </c>
      <c r="AC693" s="663" t="s">
        <v>5625</v>
      </c>
      <c r="AD693" s="663" t="s">
        <v>4948</v>
      </c>
      <c r="AE693" s="663" t="s">
        <v>4931</v>
      </c>
      <c r="AF693" s="663" t="s">
        <v>4946</v>
      </c>
    </row>
    <row r="694" spans="1:32" s="608" customFormat="1" x14ac:dyDescent="0.25">
      <c r="A694" s="624"/>
      <c r="B694" s="617">
        <v>39035176200</v>
      </c>
      <c r="C694" s="617" t="s">
        <v>2362</v>
      </c>
      <c r="D694" s="617" t="s">
        <v>42</v>
      </c>
      <c r="E694" s="617" t="s">
        <v>4853</v>
      </c>
      <c r="F694" s="617" t="s">
        <v>26</v>
      </c>
      <c r="G694" s="624"/>
      <c r="H694" s="669">
        <v>43515</v>
      </c>
      <c r="I694" s="617" t="s">
        <v>4872</v>
      </c>
      <c r="J694" s="617" t="s">
        <v>26</v>
      </c>
      <c r="K694" s="624"/>
      <c r="O694" s="616"/>
      <c r="P694" s="616"/>
      <c r="Q694" s="616"/>
      <c r="AA694" s="624"/>
      <c r="AB694" s="663">
        <v>39035174107</v>
      </c>
      <c r="AC694" s="663" t="s">
        <v>5626</v>
      </c>
      <c r="AD694" s="663" t="s">
        <v>4941</v>
      </c>
      <c r="AE694" s="663" t="s">
        <v>4931</v>
      </c>
      <c r="AF694" s="663" t="s">
        <v>4946</v>
      </c>
    </row>
    <row r="695" spans="1:32" s="608" customFormat="1" x14ac:dyDescent="0.25">
      <c r="A695" s="624"/>
      <c r="B695" s="617">
        <v>39035177101</v>
      </c>
      <c r="C695" s="617" t="s">
        <v>2363</v>
      </c>
      <c r="D695" s="617" t="s">
        <v>42</v>
      </c>
      <c r="E695" s="617" t="s">
        <v>4853</v>
      </c>
      <c r="F695" s="617" t="s">
        <v>26</v>
      </c>
      <c r="G695" s="624"/>
      <c r="H695" s="669">
        <v>43540</v>
      </c>
      <c r="I695" s="617" t="s">
        <v>4872</v>
      </c>
      <c r="J695" s="617" t="s">
        <v>26</v>
      </c>
      <c r="K695" s="624"/>
      <c r="O695" s="616"/>
      <c r="P695" s="616"/>
      <c r="Q695" s="616"/>
      <c r="AA695" s="624"/>
      <c r="AB695" s="663">
        <v>39035174203</v>
      </c>
      <c r="AC695" s="663" t="s">
        <v>5627</v>
      </c>
      <c r="AD695" s="663" t="s">
        <v>4941</v>
      </c>
      <c r="AE695" s="663" t="s">
        <v>4928</v>
      </c>
      <c r="AF695" s="663" t="s">
        <v>4946</v>
      </c>
    </row>
    <row r="696" spans="1:32" s="608" customFormat="1" x14ac:dyDescent="0.25">
      <c r="A696" s="624"/>
      <c r="B696" s="617">
        <v>39035177103</v>
      </c>
      <c r="C696" s="617" t="s">
        <v>2364</v>
      </c>
      <c r="D696" s="617" t="s">
        <v>42</v>
      </c>
      <c r="E696" s="617" t="s">
        <v>4853</v>
      </c>
      <c r="F696" s="617" t="s">
        <v>26</v>
      </c>
      <c r="G696" s="624"/>
      <c r="H696" s="669">
        <v>43064</v>
      </c>
      <c r="I696" s="617" t="s">
        <v>1678</v>
      </c>
      <c r="J696" s="617" t="s">
        <v>26</v>
      </c>
      <c r="K696" s="624"/>
      <c r="O696" s="616"/>
      <c r="P696" s="616"/>
      <c r="Q696" s="616"/>
      <c r="AA696" s="624"/>
      <c r="AB696" s="663">
        <v>39035174204</v>
      </c>
      <c r="AC696" s="663" t="s">
        <v>5628</v>
      </c>
      <c r="AD696" s="663" t="s">
        <v>4941</v>
      </c>
      <c r="AE696" s="663" t="s">
        <v>4928</v>
      </c>
      <c r="AF696" s="663" t="s">
        <v>4946</v>
      </c>
    </row>
    <row r="697" spans="1:32" s="608" customFormat="1" x14ac:dyDescent="0.25">
      <c r="A697" s="624"/>
      <c r="B697" s="617">
        <v>39035177104</v>
      </c>
      <c r="C697" s="617" t="s">
        <v>2365</v>
      </c>
      <c r="D697" s="617" t="s">
        <v>42</v>
      </c>
      <c r="E697" s="617" t="s">
        <v>4853</v>
      </c>
      <c r="F697" s="617" t="s">
        <v>26</v>
      </c>
      <c r="G697" s="624"/>
      <c r="H697" s="669">
        <v>44657</v>
      </c>
      <c r="I697" s="617" t="s">
        <v>4874</v>
      </c>
      <c r="J697" s="617" t="s">
        <v>26</v>
      </c>
      <c r="K697" s="624"/>
      <c r="O697" s="616"/>
      <c r="P697" s="616"/>
      <c r="Q697" s="616"/>
      <c r="AA697" s="624"/>
      <c r="AB697" s="663">
        <v>39035174205</v>
      </c>
      <c r="AC697" s="663" t="s">
        <v>5629</v>
      </c>
      <c r="AD697" s="663" t="s">
        <v>4948</v>
      </c>
      <c r="AE697" s="663" t="s">
        <v>4934</v>
      </c>
      <c r="AF697" s="663" t="s">
        <v>4946</v>
      </c>
    </row>
    <row r="698" spans="1:32" s="608" customFormat="1" x14ac:dyDescent="0.25">
      <c r="A698" s="624"/>
      <c r="B698" s="617">
        <v>39035177201</v>
      </c>
      <c r="C698" s="617" t="s">
        <v>2366</v>
      </c>
      <c r="D698" s="617" t="s">
        <v>42</v>
      </c>
      <c r="E698" s="617" t="s">
        <v>4853</v>
      </c>
      <c r="F698" s="617" t="s">
        <v>26</v>
      </c>
      <c r="G698" s="624"/>
      <c r="H698" s="669">
        <v>43224</v>
      </c>
      <c r="I698" s="617" t="s">
        <v>4871</v>
      </c>
      <c r="J698" s="617" t="s">
        <v>26</v>
      </c>
      <c r="K698" s="624"/>
      <c r="O698" s="616"/>
      <c r="P698" s="616"/>
      <c r="Q698" s="616"/>
      <c r="AA698" s="624"/>
      <c r="AB698" s="663">
        <v>39035174206</v>
      </c>
      <c r="AC698" s="663" t="s">
        <v>5630</v>
      </c>
      <c r="AD698" s="663" t="s">
        <v>4950</v>
      </c>
      <c r="AE698" s="663" t="s">
        <v>5006</v>
      </c>
      <c r="AF698" s="663" t="s">
        <v>4946</v>
      </c>
    </row>
    <row r="699" spans="1:32" s="608" customFormat="1" x14ac:dyDescent="0.25">
      <c r="A699" s="624"/>
      <c r="B699" s="617">
        <v>39035177202</v>
      </c>
      <c r="C699" s="617" t="s">
        <v>2367</v>
      </c>
      <c r="D699" s="617" t="s">
        <v>42</v>
      </c>
      <c r="E699" s="617" t="s">
        <v>4853</v>
      </c>
      <c r="F699" s="617" t="s">
        <v>26</v>
      </c>
      <c r="G699" s="624"/>
      <c r="H699" s="669">
        <v>43211</v>
      </c>
      <c r="I699" s="617" t="s">
        <v>4871</v>
      </c>
      <c r="J699" s="617" t="s">
        <v>26</v>
      </c>
      <c r="K699" s="624"/>
      <c r="O699" s="616"/>
      <c r="P699" s="616"/>
      <c r="Q699" s="616"/>
      <c r="AA699" s="624"/>
      <c r="AB699" s="663">
        <v>39035174207</v>
      </c>
      <c r="AC699" s="663" t="s">
        <v>5631</v>
      </c>
      <c r="AD699" s="663" t="s">
        <v>4941</v>
      </c>
      <c r="AE699" s="663" t="s">
        <v>4931</v>
      </c>
      <c r="AF699" s="663" t="s">
        <v>4946</v>
      </c>
    </row>
    <row r="700" spans="1:32" s="608" customFormat="1" x14ac:dyDescent="0.25">
      <c r="A700" s="624"/>
      <c r="B700" s="617">
        <v>39035177302</v>
      </c>
      <c r="C700" s="617" t="s">
        <v>2368</v>
      </c>
      <c r="D700" s="617" t="s">
        <v>42</v>
      </c>
      <c r="E700" s="617" t="s">
        <v>4853</v>
      </c>
      <c r="F700" s="617" t="s">
        <v>26</v>
      </c>
      <c r="G700" s="624"/>
      <c r="H700" s="669">
        <v>43314</v>
      </c>
      <c r="I700" s="617" t="s">
        <v>4871</v>
      </c>
      <c r="J700" s="617" t="s">
        <v>26</v>
      </c>
      <c r="K700" s="624"/>
      <c r="O700" s="616"/>
      <c r="P700" s="616"/>
      <c r="Q700" s="616"/>
      <c r="AA700" s="624"/>
      <c r="AB700" s="663">
        <v>39035175103</v>
      </c>
      <c r="AC700" s="663" t="s">
        <v>5632</v>
      </c>
      <c r="AD700" s="663" t="s">
        <v>4948</v>
      </c>
      <c r="AE700" s="663" t="s">
        <v>4931</v>
      </c>
      <c r="AF700" s="663" t="s">
        <v>4946</v>
      </c>
    </row>
    <row r="701" spans="1:32" s="608" customFormat="1" x14ac:dyDescent="0.25">
      <c r="A701" s="624"/>
      <c r="B701" s="617">
        <v>39035177303</v>
      </c>
      <c r="C701" s="617" t="s">
        <v>2369</v>
      </c>
      <c r="D701" s="617" t="s">
        <v>42</v>
      </c>
      <c r="E701" s="617" t="s">
        <v>4853</v>
      </c>
      <c r="F701" s="617" t="s">
        <v>26</v>
      </c>
      <c r="G701" s="624"/>
      <c r="H701" s="669">
        <v>45377</v>
      </c>
      <c r="I701" s="617" t="s">
        <v>4870</v>
      </c>
      <c r="J701" s="617" t="s">
        <v>26</v>
      </c>
      <c r="K701" s="624"/>
      <c r="O701" s="616"/>
      <c r="P701" s="616"/>
      <c r="Q701" s="616"/>
      <c r="AA701" s="624"/>
      <c r="AB701" s="663">
        <v>39035175104</v>
      </c>
      <c r="AC701" s="663" t="s">
        <v>5633</v>
      </c>
      <c r="AD701" s="663" t="s">
        <v>4948</v>
      </c>
      <c r="AE701" s="663" t="s">
        <v>4942</v>
      </c>
      <c r="AF701" s="663" t="s">
        <v>4946</v>
      </c>
    </row>
    <row r="702" spans="1:32" s="608" customFormat="1" x14ac:dyDescent="0.25">
      <c r="A702" s="624"/>
      <c r="B702" s="617">
        <v>39035177304</v>
      </c>
      <c r="C702" s="617" t="s">
        <v>2370</v>
      </c>
      <c r="D702" s="617" t="s">
        <v>42</v>
      </c>
      <c r="E702" s="617" t="s">
        <v>4853</v>
      </c>
      <c r="F702" s="617" t="s">
        <v>26</v>
      </c>
      <c r="G702" s="624"/>
      <c r="H702" s="669">
        <v>45314</v>
      </c>
      <c r="I702" s="617" t="s">
        <v>4870</v>
      </c>
      <c r="J702" s="617" t="s">
        <v>26</v>
      </c>
      <c r="K702" s="624"/>
      <c r="O702" s="616"/>
      <c r="P702" s="616"/>
      <c r="Q702" s="616"/>
      <c r="AA702" s="624"/>
      <c r="AB702" s="663">
        <v>39035175105</v>
      </c>
      <c r="AC702" s="663" t="s">
        <v>5634</v>
      </c>
      <c r="AD702" s="663" t="s">
        <v>4941</v>
      </c>
      <c r="AE702" s="663" t="s">
        <v>4931</v>
      </c>
      <c r="AF702" s="663" t="s">
        <v>4946</v>
      </c>
    </row>
    <row r="703" spans="1:32" s="608" customFormat="1" x14ac:dyDescent="0.25">
      <c r="A703" s="624"/>
      <c r="B703" s="617">
        <v>39035177403</v>
      </c>
      <c r="C703" s="617" t="s">
        <v>2371</v>
      </c>
      <c r="D703" s="617" t="s">
        <v>42</v>
      </c>
      <c r="E703" s="617" t="s">
        <v>4853</v>
      </c>
      <c r="F703" s="617" t="s">
        <v>26</v>
      </c>
      <c r="G703" s="624"/>
      <c r="H703" s="669">
        <v>44420</v>
      </c>
      <c r="I703" s="617" t="s">
        <v>4873</v>
      </c>
      <c r="J703" s="617" t="s">
        <v>26</v>
      </c>
      <c r="K703" s="624"/>
      <c r="O703" s="616"/>
      <c r="P703" s="616"/>
      <c r="Q703" s="616"/>
      <c r="AA703" s="624"/>
      <c r="AB703" s="663">
        <v>39035175106</v>
      </c>
      <c r="AC703" s="663" t="s">
        <v>5635</v>
      </c>
      <c r="AD703" s="663" t="s">
        <v>4941</v>
      </c>
      <c r="AE703" s="663" t="s">
        <v>4934</v>
      </c>
      <c r="AF703" s="663" t="s">
        <v>4946</v>
      </c>
    </row>
    <row r="704" spans="1:32" s="608" customFormat="1" x14ac:dyDescent="0.25">
      <c r="A704" s="624"/>
      <c r="B704" s="617">
        <v>39035177404</v>
      </c>
      <c r="C704" s="617" t="s">
        <v>2372</v>
      </c>
      <c r="D704" s="617" t="s">
        <v>42</v>
      </c>
      <c r="E704" s="617" t="s">
        <v>4853</v>
      </c>
      <c r="F704" s="617" t="s">
        <v>26</v>
      </c>
      <c r="G704" s="624"/>
      <c r="H704" s="669">
        <v>44902</v>
      </c>
      <c r="I704" s="617" t="s">
        <v>4877</v>
      </c>
      <c r="J704" s="617" t="s">
        <v>26</v>
      </c>
      <c r="K704" s="624"/>
      <c r="O704" s="616"/>
      <c r="P704" s="616"/>
      <c r="Q704" s="616"/>
      <c r="AA704" s="624"/>
      <c r="AB704" s="663">
        <v>39035175201</v>
      </c>
      <c r="AC704" s="663" t="s">
        <v>5636</v>
      </c>
      <c r="AD704" s="663" t="s">
        <v>4941</v>
      </c>
      <c r="AE704" s="663" t="s">
        <v>4934</v>
      </c>
      <c r="AF704" s="663" t="s">
        <v>4946</v>
      </c>
    </row>
    <row r="705" spans="1:32" s="608" customFormat="1" x14ac:dyDescent="0.25">
      <c r="A705" s="624"/>
      <c r="B705" s="617">
        <v>39035177405</v>
      </c>
      <c r="C705" s="617" t="s">
        <v>2373</v>
      </c>
      <c r="D705" s="617" t="s">
        <v>42</v>
      </c>
      <c r="E705" s="617" t="s">
        <v>4853</v>
      </c>
      <c r="F705" s="617" t="s">
        <v>26</v>
      </c>
      <c r="G705" s="624"/>
      <c r="H705" s="669">
        <v>43777</v>
      </c>
      <c r="I705" s="617" t="s">
        <v>1677</v>
      </c>
      <c r="J705" s="617" t="s">
        <v>26</v>
      </c>
      <c r="K705" s="624"/>
      <c r="O705" s="616"/>
      <c r="P705" s="616"/>
      <c r="Q705" s="616"/>
      <c r="AA705" s="624"/>
      <c r="AB705" s="663">
        <v>39035175202</v>
      </c>
      <c r="AC705" s="663" t="s">
        <v>5637</v>
      </c>
      <c r="AD705" s="663" t="s">
        <v>4948</v>
      </c>
      <c r="AE705" s="663" t="s">
        <v>4934</v>
      </c>
      <c r="AF705" s="663" t="s">
        <v>4946</v>
      </c>
    </row>
    <row r="706" spans="1:32" s="608" customFormat="1" x14ac:dyDescent="0.25">
      <c r="A706" s="624"/>
      <c r="B706" s="617">
        <v>39035177406</v>
      </c>
      <c r="C706" s="617" t="s">
        <v>2374</v>
      </c>
      <c r="D706" s="617" t="s">
        <v>42</v>
      </c>
      <c r="E706" s="617" t="s">
        <v>4853</v>
      </c>
      <c r="F706" s="617" t="s">
        <v>26</v>
      </c>
      <c r="G706" s="624"/>
      <c r="H706" s="669">
        <v>44404</v>
      </c>
      <c r="I706" s="617" t="s">
        <v>4873</v>
      </c>
      <c r="J706" s="617" t="s">
        <v>26</v>
      </c>
      <c r="K706" s="624"/>
      <c r="O706" s="616"/>
      <c r="P706" s="616"/>
      <c r="Q706" s="616"/>
      <c r="AA706" s="624"/>
      <c r="AB706" s="663">
        <v>39035176100</v>
      </c>
      <c r="AC706" s="663" t="s">
        <v>5638</v>
      </c>
      <c r="AD706" s="663" t="s">
        <v>4941</v>
      </c>
      <c r="AE706" s="663" t="s">
        <v>4931</v>
      </c>
      <c r="AF706" s="663" t="s">
        <v>4946</v>
      </c>
    </row>
    <row r="707" spans="1:32" s="608" customFormat="1" x14ac:dyDescent="0.25">
      <c r="A707" s="624"/>
      <c r="B707" s="617">
        <v>39035177501</v>
      </c>
      <c r="C707" s="617" t="s">
        <v>2375</v>
      </c>
      <c r="D707" s="617" t="s">
        <v>42</v>
      </c>
      <c r="E707" s="617" t="s">
        <v>4853</v>
      </c>
      <c r="F707" s="617" t="s">
        <v>26</v>
      </c>
      <c r="G707" s="624"/>
      <c r="H707" s="669">
        <v>44302</v>
      </c>
      <c r="I707" s="617" t="s">
        <v>4868</v>
      </c>
      <c r="J707" s="617" t="s">
        <v>26</v>
      </c>
      <c r="K707" s="624"/>
      <c r="O707" s="616"/>
      <c r="P707" s="616"/>
      <c r="Q707" s="616"/>
      <c r="AA707" s="624"/>
      <c r="AB707" s="663">
        <v>39035176200</v>
      </c>
      <c r="AC707" s="663" t="s">
        <v>5639</v>
      </c>
      <c r="AD707" s="663" t="s">
        <v>4948</v>
      </c>
      <c r="AE707" s="663" t="s">
        <v>4934</v>
      </c>
      <c r="AF707" s="663" t="s">
        <v>4946</v>
      </c>
    </row>
    <row r="708" spans="1:32" s="608" customFormat="1" x14ac:dyDescent="0.25">
      <c r="A708" s="624"/>
      <c r="B708" s="617">
        <v>39035177503</v>
      </c>
      <c r="C708" s="617" t="s">
        <v>2376</v>
      </c>
      <c r="D708" s="617" t="s">
        <v>42</v>
      </c>
      <c r="E708" s="617" t="s">
        <v>4853</v>
      </c>
      <c r="F708" s="617" t="s">
        <v>26</v>
      </c>
      <c r="G708" s="624"/>
      <c r="H708" s="669">
        <v>45230</v>
      </c>
      <c r="I708" s="617" t="s">
        <v>4867</v>
      </c>
      <c r="J708" s="617" t="s">
        <v>26</v>
      </c>
      <c r="K708" s="624"/>
      <c r="O708" s="616"/>
      <c r="P708" s="616"/>
      <c r="Q708" s="616"/>
      <c r="AA708" s="624"/>
      <c r="AB708" s="663">
        <v>39035177101</v>
      </c>
      <c r="AC708" s="663" t="s">
        <v>5640</v>
      </c>
      <c r="AD708" s="663" t="s">
        <v>4950</v>
      </c>
      <c r="AE708" s="663" t="s">
        <v>4942</v>
      </c>
      <c r="AF708" s="663" t="s">
        <v>4946</v>
      </c>
    </row>
    <row r="709" spans="1:32" s="608" customFormat="1" x14ac:dyDescent="0.25">
      <c r="A709" s="624"/>
      <c r="B709" s="617">
        <v>39035177504</v>
      </c>
      <c r="C709" s="617" t="s">
        <v>2377</v>
      </c>
      <c r="D709" s="617" t="s">
        <v>42</v>
      </c>
      <c r="E709" s="617" t="s">
        <v>4853</v>
      </c>
      <c r="F709" s="617" t="s">
        <v>26</v>
      </c>
      <c r="G709" s="624"/>
      <c r="H709" s="669">
        <v>47001</v>
      </c>
      <c r="I709" s="617" t="s">
        <v>4867</v>
      </c>
      <c r="J709" s="617" t="s">
        <v>26</v>
      </c>
      <c r="K709" s="624"/>
      <c r="O709" s="616"/>
      <c r="P709" s="616"/>
      <c r="Q709" s="616"/>
      <c r="AA709" s="624"/>
      <c r="AB709" s="663">
        <v>39035177103</v>
      </c>
      <c r="AC709" s="663" t="s">
        <v>5641</v>
      </c>
      <c r="AD709" s="663" t="s">
        <v>4950</v>
      </c>
      <c r="AE709" s="663" t="s">
        <v>4939</v>
      </c>
      <c r="AF709" s="663" t="s">
        <v>4946</v>
      </c>
    </row>
    <row r="710" spans="1:32" s="608" customFormat="1" x14ac:dyDescent="0.25">
      <c r="A710" s="624"/>
      <c r="B710" s="617">
        <v>39035177505</v>
      </c>
      <c r="C710" s="617" t="s">
        <v>2378</v>
      </c>
      <c r="D710" s="617" t="s">
        <v>42</v>
      </c>
      <c r="E710" s="617" t="s">
        <v>4853</v>
      </c>
      <c r="F710" s="617" t="s">
        <v>26</v>
      </c>
      <c r="G710" s="624"/>
      <c r="H710" s="669">
        <v>45207</v>
      </c>
      <c r="I710" s="617" t="s">
        <v>4867</v>
      </c>
      <c r="J710" s="617" t="s">
        <v>26</v>
      </c>
      <c r="K710" s="624"/>
      <c r="O710" s="616"/>
      <c r="P710" s="616"/>
      <c r="Q710" s="616"/>
      <c r="AA710" s="624"/>
      <c r="AB710" s="663">
        <v>39035177104</v>
      </c>
      <c r="AC710" s="663" t="s">
        <v>5642</v>
      </c>
      <c r="AD710" s="663" t="s">
        <v>4948</v>
      </c>
      <c r="AE710" s="663" t="s">
        <v>4942</v>
      </c>
      <c r="AF710" s="663" t="s">
        <v>4946</v>
      </c>
    </row>
    <row r="711" spans="1:32" s="608" customFormat="1" x14ac:dyDescent="0.25">
      <c r="A711" s="624"/>
      <c r="B711" s="617">
        <v>39035177604</v>
      </c>
      <c r="C711" s="617" t="s">
        <v>2379</v>
      </c>
      <c r="D711" s="617" t="s">
        <v>42</v>
      </c>
      <c r="E711" s="617" t="s">
        <v>4853</v>
      </c>
      <c r="F711" s="617" t="s">
        <v>26</v>
      </c>
      <c r="G711" s="624"/>
      <c r="H711" s="669">
        <v>41014</v>
      </c>
      <c r="I711" s="617" t="s">
        <v>4867</v>
      </c>
      <c r="J711" s="617" t="s">
        <v>26</v>
      </c>
      <c r="K711" s="624"/>
      <c r="O711" s="616"/>
      <c r="P711" s="616"/>
      <c r="Q711" s="616"/>
      <c r="AA711" s="624"/>
      <c r="AB711" s="663">
        <v>39035177201</v>
      </c>
      <c r="AC711" s="663" t="s">
        <v>5643</v>
      </c>
      <c r="AD711" s="663" t="s">
        <v>4948</v>
      </c>
      <c r="AE711" s="663" t="s">
        <v>4934</v>
      </c>
      <c r="AF711" s="663" t="s">
        <v>4946</v>
      </c>
    </row>
    <row r="712" spans="1:32" s="608" customFormat="1" x14ac:dyDescent="0.25">
      <c r="A712" s="624"/>
      <c r="B712" s="617">
        <v>39035177605</v>
      </c>
      <c r="C712" s="617" t="s">
        <v>2380</v>
      </c>
      <c r="D712" s="617" t="s">
        <v>42</v>
      </c>
      <c r="E712" s="617" t="s">
        <v>4853</v>
      </c>
      <c r="F712" s="617" t="s">
        <v>26</v>
      </c>
      <c r="G712" s="624"/>
      <c r="H712" s="669">
        <v>41006</v>
      </c>
      <c r="I712" s="617" t="s">
        <v>4867</v>
      </c>
      <c r="J712" s="617" t="s">
        <v>26</v>
      </c>
      <c r="K712" s="624"/>
      <c r="O712" s="616"/>
      <c r="P712" s="616"/>
      <c r="Q712" s="616"/>
      <c r="AA712" s="624"/>
      <c r="AB712" s="663">
        <v>39035177202</v>
      </c>
      <c r="AC712" s="663" t="s">
        <v>5644</v>
      </c>
      <c r="AD712" s="663" t="s">
        <v>4950</v>
      </c>
      <c r="AE712" s="663" t="s">
        <v>4928</v>
      </c>
      <c r="AF712" s="663" t="s">
        <v>4946</v>
      </c>
    </row>
    <row r="713" spans="1:32" s="608" customFormat="1" x14ac:dyDescent="0.25">
      <c r="A713" s="624"/>
      <c r="B713" s="617">
        <v>39035177606</v>
      </c>
      <c r="C713" s="617" t="s">
        <v>2381</v>
      </c>
      <c r="D713" s="617" t="s">
        <v>42</v>
      </c>
      <c r="E713" s="617" t="s">
        <v>4853</v>
      </c>
      <c r="F713" s="617" t="s">
        <v>26</v>
      </c>
      <c r="G713" s="624"/>
      <c r="H713" s="669">
        <v>41086</v>
      </c>
      <c r="I713" s="617" t="s">
        <v>4867</v>
      </c>
      <c r="J713" s="617" t="s">
        <v>26</v>
      </c>
      <c r="K713" s="624"/>
      <c r="O713" s="616"/>
      <c r="P713" s="616"/>
      <c r="Q713" s="616"/>
      <c r="AA713" s="624"/>
      <c r="AB713" s="663">
        <v>39035177302</v>
      </c>
      <c r="AC713" s="663" t="s">
        <v>5645</v>
      </c>
      <c r="AD713" s="663" t="s">
        <v>4948</v>
      </c>
      <c r="AE713" s="663" t="s">
        <v>4931</v>
      </c>
      <c r="AF713" s="663" t="s">
        <v>4946</v>
      </c>
    </row>
    <row r="714" spans="1:32" s="608" customFormat="1" x14ac:dyDescent="0.25">
      <c r="A714" s="624"/>
      <c r="B714" s="617">
        <v>39035177607</v>
      </c>
      <c r="C714" s="617" t="s">
        <v>2382</v>
      </c>
      <c r="D714" s="617" t="s">
        <v>42</v>
      </c>
      <c r="E714" s="617" t="s">
        <v>4853</v>
      </c>
      <c r="F714" s="617" t="s">
        <v>26</v>
      </c>
      <c r="G714" s="624"/>
      <c r="H714" s="669">
        <v>44851</v>
      </c>
      <c r="I714" s="617" t="s">
        <v>4869</v>
      </c>
      <c r="J714" s="617" t="s">
        <v>26</v>
      </c>
      <c r="K714" s="624"/>
      <c r="O714" s="616"/>
      <c r="P714" s="616"/>
      <c r="Q714" s="616"/>
      <c r="AA714" s="624"/>
      <c r="AB714" s="663">
        <v>39035177303</v>
      </c>
      <c r="AC714" s="663" t="s">
        <v>5646</v>
      </c>
      <c r="AD714" s="663" t="s">
        <v>4941</v>
      </c>
      <c r="AE714" s="663" t="s">
        <v>4928</v>
      </c>
      <c r="AF714" s="663" t="s">
        <v>4946</v>
      </c>
    </row>
    <row r="715" spans="1:32" s="608" customFormat="1" x14ac:dyDescent="0.25">
      <c r="A715" s="624"/>
      <c r="B715" s="617">
        <v>39035177608</v>
      </c>
      <c r="C715" s="617" t="s">
        <v>2383</v>
      </c>
      <c r="D715" s="617" t="s">
        <v>42</v>
      </c>
      <c r="E715" s="617" t="s">
        <v>4853</v>
      </c>
      <c r="F715" s="617" t="s">
        <v>26</v>
      </c>
      <c r="G715" s="624"/>
      <c r="H715" s="669">
        <v>43502</v>
      </c>
      <c r="I715" s="617" t="s">
        <v>4872</v>
      </c>
      <c r="J715" s="617" t="s">
        <v>26</v>
      </c>
      <c r="K715" s="624"/>
      <c r="O715" s="616"/>
      <c r="P715" s="616"/>
      <c r="Q715" s="616"/>
      <c r="AA715" s="624"/>
      <c r="AB715" s="663">
        <v>39035177304</v>
      </c>
      <c r="AC715" s="663" t="s">
        <v>5647</v>
      </c>
      <c r="AD715" s="663" t="s">
        <v>4950</v>
      </c>
      <c r="AE715" s="663" t="s">
        <v>4931</v>
      </c>
      <c r="AF715" s="663" t="s">
        <v>4946</v>
      </c>
    </row>
    <row r="716" spans="1:32" s="608" customFormat="1" x14ac:dyDescent="0.25">
      <c r="A716" s="624"/>
      <c r="B716" s="617">
        <v>39035177609</v>
      </c>
      <c r="C716" s="617" t="s">
        <v>2384</v>
      </c>
      <c r="D716" s="617" t="s">
        <v>42</v>
      </c>
      <c r="E716" s="617" t="s">
        <v>4853</v>
      </c>
      <c r="F716" s="617" t="s">
        <v>26</v>
      </c>
      <c r="G716" s="624"/>
      <c r="H716" s="669">
        <v>43205</v>
      </c>
      <c r="I716" s="617" t="s">
        <v>4871</v>
      </c>
      <c r="J716" s="617" t="s">
        <v>26</v>
      </c>
      <c r="K716" s="624"/>
      <c r="O716" s="616"/>
      <c r="P716" s="616"/>
      <c r="Q716" s="616"/>
      <c r="AA716" s="624"/>
      <c r="AB716" s="663">
        <v>39035177403</v>
      </c>
      <c r="AC716" s="663" t="s">
        <v>5648</v>
      </c>
      <c r="AD716" s="663" t="s">
        <v>4948</v>
      </c>
      <c r="AE716" s="663" t="s">
        <v>4928</v>
      </c>
      <c r="AF716" s="663" t="s">
        <v>4946</v>
      </c>
    </row>
    <row r="717" spans="1:32" s="608" customFormat="1" x14ac:dyDescent="0.25">
      <c r="A717" s="624"/>
      <c r="B717" s="617">
        <v>39035178101</v>
      </c>
      <c r="C717" s="617" t="s">
        <v>2385</v>
      </c>
      <c r="D717" s="617" t="s">
        <v>42</v>
      </c>
      <c r="E717" s="617" t="s">
        <v>4853</v>
      </c>
      <c r="F717" s="617" t="s">
        <v>26</v>
      </c>
      <c r="G717" s="624"/>
      <c r="H717" s="669">
        <v>41040</v>
      </c>
      <c r="I717" s="617" t="s">
        <v>4867</v>
      </c>
      <c r="J717" s="617" t="s">
        <v>26</v>
      </c>
      <c r="K717" s="624"/>
      <c r="O717" s="616"/>
      <c r="P717" s="616"/>
      <c r="Q717" s="616"/>
      <c r="AA717" s="624"/>
      <c r="AB717" s="663">
        <v>39035177404</v>
      </c>
      <c r="AC717" s="663" t="s">
        <v>5649</v>
      </c>
      <c r="AD717" s="663" t="s">
        <v>4948</v>
      </c>
      <c r="AE717" s="663" t="s">
        <v>4934</v>
      </c>
      <c r="AF717" s="663" t="s">
        <v>4946</v>
      </c>
    </row>
    <row r="718" spans="1:32" s="608" customFormat="1" x14ac:dyDescent="0.25">
      <c r="A718" s="624"/>
      <c r="B718" s="617">
        <v>39035178102</v>
      </c>
      <c r="C718" s="617" t="s">
        <v>2386</v>
      </c>
      <c r="D718" s="617" t="s">
        <v>42</v>
      </c>
      <c r="E718" s="617" t="s">
        <v>4853</v>
      </c>
      <c r="F718" s="617" t="s">
        <v>26</v>
      </c>
      <c r="G718" s="624"/>
      <c r="H718" s="669">
        <v>47040</v>
      </c>
      <c r="I718" s="617" t="s">
        <v>4867</v>
      </c>
      <c r="J718" s="617" t="s">
        <v>26</v>
      </c>
      <c r="K718" s="624"/>
      <c r="O718" s="616"/>
      <c r="P718" s="616"/>
      <c r="Q718" s="616"/>
      <c r="AA718" s="624"/>
      <c r="AB718" s="663">
        <v>39035177405</v>
      </c>
      <c r="AC718" s="663" t="s">
        <v>5650</v>
      </c>
      <c r="AD718" s="663" t="s">
        <v>4950</v>
      </c>
      <c r="AE718" s="663" t="s">
        <v>4934</v>
      </c>
      <c r="AF718" s="663" t="s">
        <v>4946</v>
      </c>
    </row>
    <row r="719" spans="1:32" s="608" customFormat="1" x14ac:dyDescent="0.25">
      <c r="A719" s="624"/>
      <c r="B719" s="617">
        <v>39035178201</v>
      </c>
      <c r="C719" s="617" t="s">
        <v>2387</v>
      </c>
      <c r="D719" s="617" t="s">
        <v>42</v>
      </c>
      <c r="E719" s="617" t="s">
        <v>4853</v>
      </c>
      <c r="F719" s="617" t="s">
        <v>26</v>
      </c>
      <c r="G719" s="624"/>
      <c r="H719" s="669">
        <v>45130</v>
      </c>
      <c r="I719" s="617" t="s">
        <v>4867</v>
      </c>
      <c r="J719" s="617" t="s">
        <v>26</v>
      </c>
      <c r="K719" s="624"/>
      <c r="O719" s="616"/>
      <c r="P719" s="616"/>
      <c r="Q719" s="616"/>
      <c r="AA719" s="624"/>
      <c r="AB719" s="663">
        <v>39035177406</v>
      </c>
      <c r="AC719" s="663" t="s">
        <v>5651</v>
      </c>
      <c r="AD719" s="663" t="s">
        <v>4948</v>
      </c>
      <c r="AE719" s="663" t="s">
        <v>4931</v>
      </c>
      <c r="AF719" s="663" t="s">
        <v>4946</v>
      </c>
    </row>
    <row r="720" spans="1:32" s="608" customFormat="1" x14ac:dyDescent="0.25">
      <c r="A720" s="624"/>
      <c r="B720" s="617">
        <v>39035178204</v>
      </c>
      <c r="C720" s="617" t="s">
        <v>2388</v>
      </c>
      <c r="D720" s="617" t="s">
        <v>42</v>
      </c>
      <c r="E720" s="617" t="s">
        <v>4853</v>
      </c>
      <c r="F720" s="617" t="s">
        <v>26</v>
      </c>
      <c r="G720" s="624"/>
      <c r="H720" s="669">
        <v>41044</v>
      </c>
      <c r="I720" s="617" t="s">
        <v>4867</v>
      </c>
      <c r="J720" s="617" t="s">
        <v>26</v>
      </c>
      <c r="K720" s="624"/>
      <c r="O720" s="616"/>
      <c r="P720" s="616"/>
      <c r="Q720" s="616"/>
      <c r="AA720" s="624"/>
      <c r="AB720" s="663">
        <v>39035177501</v>
      </c>
      <c r="AC720" s="663" t="s">
        <v>5652</v>
      </c>
      <c r="AD720" s="663" t="s">
        <v>4950</v>
      </c>
      <c r="AE720" s="663" t="s">
        <v>4934</v>
      </c>
      <c r="AF720" s="663" t="s">
        <v>4946</v>
      </c>
    </row>
    <row r="721" spans="1:32" s="608" customFormat="1" x14ac:dyDescent="0.25">
      <c r="A721" s="624"/>
      <c r="B721" s="617">
        <v>39035178205</v>
      </c>
      <c r="C721" s="617" t="s">
        <v>2389</v>
      </c>
      <c r="D721" s="617" t="s">
        <v>42</v>
      </c>
      <c r="E721" s="617" t="s">
        <v>4853</v>
      </c>
      <c r="F721" s="617" t="s">
        <v>26</v>
      </c>
      <c r="G721" s="624"/>
      <c r="H721" s="669">
        <v>44105</v>
      </c>
      <c r="I721" s="617" t="s">
        <v>4869</v>
      </c>
      <c r="J721" s="617" t="s">
        <v>26</v>
      </c>
      <c r="K721" s="624"/>
      <c r="O721" s="616"/>
      <c r="P721" s="616"/>
      <c r="Q721" s="616"/>
      <c r="AA721" s="624"/>
      <c r="AB721" s="663">
        <v>39035177503</v>
      </c>
      <c r="AC721" s="663" t="s">
        <v>5653</v>
      </c>
      <c r="AD721" s="663" t="s">
        <v>4948</v>
      </c>
      <c r="AE721" s="663" t="s">
        <v>4934</v>
      </c>
      <c r="AF721" s="663" t="s">
        <v>4946</v>
      </c>
    </row>
    <row r="722" spans="1:32" s="608" customFormat="1" x14ac:dyDescent="0.25">
      <c r="A722" s="624"/>
      <c r="B722" s="617">
        <v>39035178206</v>
      </c>
      <c r="C722" s="617" t="s">
        <v>2390</v>
      </c>
      <c r="D722" s="617" t="s">
        <v>42</v>
      </c>
      <c r="E722" s="617" t="s">
        <v>4853</v>
      </c>
      <c r="F722" s="617" t="s">
        <v>26</v>
      </c>
      <c r="G722" s="624"/>
      <c r="H722" s="669">
        <v>44112</v>
      </c>
      <c r="I722" s="617" t="s">
        <v>4869</v>
      </c>
      <c r="J722" s="617" t="s">
        <v>26</v>
      </c>
      <c r="K722" s="624"/>
      <c r="O722" s="616"/>
      <c r="P722" s="616"/>
      <c r="Q722" s="616"/>
      <c r="AA722" s="624"/>
      <c r="AB722" s="663">
        <v>39035177504</v>
      </c>
      <c r="AC722" s="663" t="s">
        <v>5654</v>
      </c>
      <c r="AD722" s="663" t="s">
        <v>4948</v>
      </c>
      <c r="AE722" s="663" t="s">
        <v>4942</v>
      </c>
      <c r="AF722" s="663" t="s">
        <v>4946</v>
      </c>
    </row>
    <row r="723" spans="1:32" s="608" customFormat="1" x14ac:dyDescent="0.25">
      <c r="A723" s="624"/>
      <c r="B723" s="617">
        <v>39035179101</v>
      </c>
      <c r="C723" s="617" t="s">
        <v>2391</v>
      </c>
      <c r="D723" s="617" t="s">
        <v>42</v>
      </c>
      <c r="E723" s="617" t="s">
        <v>4853</v>
      </c>
      <c r="F723" s="617" t="s">
        <v>26</v>
      </c>
      <c r="G723" s="624"/>
      <c r="H723" s="669">
        <v>43055</v>
      </c>
      <c r="I723" s="617" t="s">
        <v>4871</v>
      </c>
      <c r="J723" s="617" t="s">
        <v>26</v>
      </c>
      <c r="K723" s="624"/>
      <c r="O723" s="616"/>
      <c r="P723" s="616"/>
      <c r="Q723" s="616"/>
      <c r="AA723" s="624"/>
      <c r="AB723" s="663">
        <v>39035177505</v>
      </c>
      <c r="AC723" s="663" t="s">
        <v>5655</v>
      </c>
      <c r="AD723" s="663" t="s">
        <v>4948</v>
      </c>
      <c r="AE723" s="663" t="s">
        <v>4942</v>
      </c>
      <c r="AF723" s="663" t="s">
        <v>4946</v>
      </c>
    </row>
    <row r="724" spans="1:32" s="608" customFormat="1" x14ac:dyDescent="0.25">
      <c r="A724" s="624"/>
      <c r="B724" s="617">
        <v>39035179102</v>
      </c>
      <c r="C724" s="617" t="s">
        <v>2392</v>
      </c>
      <c r="D724" s="617" t="s">
        <v>42</v>
      </c>
      <c r="E724" s="617" t="s">
        <v>4853</v>
      </c>
      <c r="F724" s="617" t="s">
        <v>26</v>
      </c>
      <c r="G724" s="624"/>
      <c r="H724" s="669">
        <v>43203</v>
      </c>
      <c r="I724" s="617" t="s">
        <v>4871</v>
      </c>
      <c r="J724" s="617" t="s">
        <v>26</v>
      </c>
      <c r="K724" s="624"/>
      <c r="O724" s="616"/>
      <c r="P724" s="616"/>
      <c r="Q724" s="616"/>
      <c r="AA724" s="624"/>
      <c r="AB724" s="663">
        <v>39035177604</v>
      </c>
      <c r="AC724" s="663" t="s">
        <v>5656</v>
      </c>
      <c r="AD724" s="663" t="s">
        <v>4948</v>
      </c>
      <c r="AE724" s="663" t="s">
        <v>4939</v>
      </c>
      <c r="AF724" s="663" t="s">
        <v>4946</v>
      </c>
    </row>
    <row r="725" spans="1:32" s="608" customFormat="1" x14ac:dyDescent="0.25">
      <c r="A725" s="624"/>
      <c r="B725" s="617">
        <v>39035180102</v>
      </c>
      <c r="C725" s="617" t="s">
        <v>2393</v>
      </c>
      <c r="D725" s="617" t="s">
        <v>42</v>
      </c>
      <c r="E725" s="617" t="s">
        <v>4853</v>
      </c>
      <c r="F725" s="617" t="s">
        <v>26</v>
      </c>
      <c r="G725" s="624"/>
      <c r="H725" s="669">
        <v>43143</v>
      </c>
      <c r="I725" s="617" t="s">
        <v>4871</v>
      </c>
      <c r="J725" s="617" t="s">
        <v>26</v>
      </c>
      <c r="K725" s="624"/>
      <c r="O725" s="616"/>
      <c r="P725" s="616"/>
      <c r="Q725" s="616"/>
      <c r="AA725" s="624"/>
      <c r="AB725" s="663">
        <v>39035177605</v>
      </c>
      <c r="AC725" s="663" t="s">
        <v>5657</v>
      </c>
      <c r="AD725" s="663" t="s">
        <v>4948</v>
      </c>
      <c r="AE725" s="663" t="s">
        <v>4934</v>
      </c>
      <c r="AF725" s="663" t="s">
        <v>4946</v>
      </c>
    </row>
    <row r="726" spans="1:32" s="608" customFormat="1" x14ac:dyDescent="0.25">
      <c r="A726" s="624"/>
      <c r="B726" s="617">
        <v>39035180103</v>
      </c>
      <c r="C726" s="617" t="s">
        <v>2394</v>
      </c>
      <c r="D726" s="617" t="s">
        <v>42</v>
      </c>
      <c r="E726" s="617" t="s">
        <v>4853</v>
      </c>
      <c r="F726" s="617" t="s">
        <v>26</v>
      </c>
      <c r="G726" s="624"/>
      <c r="H726" s="669">
        <v>43019</v>
      </c>
      <c r="I726" s="617" t="s">
        <v>4871</v>
      </c>
      <c r="J726" s="617" t="s">
        <v>26</v>
      </c>
      <c r="K726" s="624"/>
      <c r="O726" s="616"/>
      <c r="P726" s="616"/>
      <c r="Q726" s="616"/>
      <c r="AA726" s="624"/>
      <c r="AB726" s="663">
        <v>39035177606</v>
      </c>
      <c r="AC726" s="663" t="s">
        <v>5658</v>
      </c>
      <c r="AD726" s="663" t="s">
        <v>4948</v>
      </c>
      <c r="AE726" s="663" t="s">
        <v>4928</v>
      </c>
      <c r="AF726" s="663" t="s">
        <v>4946</v>
      </c>
    </row>
    <row r="727" spans="1:32" s="608" customFormat="1" x14ac:dyDescent="0.25">
      <c r="A727" s="624"/>
      <c r="B727" s="617">
        <v>39035180104</v>
      </c>
      <c r="C727" s="617" t="s">
        <v>2395</v>
      </c>
      <c r="D727" s="617" t="s">
        <v>42</v>
      </c>
      <c r="E727" s="617" t="s">
        <v>4853</v>
      </c>
      <c r="F727" s="617" t="s">
        <v>24</v>
      </c>
      <c r="G727" s="624"/>
      <c r="H727" s="669">
        <v>43150</v>
      </c>
      <c r="I727" s="617" t="s">
        <v>4871</v>
      </c>
      <c r="J727" s="617" t="s">
        <v>26</v>
      </c>
      <c r="K727" s="624"/>
      <c r="O727" s="616"/>
      <c r="P727" s="616"/>
      <c r="Q727" s="616"/>
      <c r="AA727" s="624"/>
      <c r="AB727" s="663">
        <v>39035177607</v>
      </c>
      <c r="AC727" s="663" t="s">
        <v>5659</v>
      </c>
      <c r="AD727" s="663" t="s">
        <v>4948</v>
      </c>
      <c r="AE727" s="663" t="s">
        <v>4931</v>
      </c>
      <c r="AF727" s="663" t="s">
        <v>4946</v>
      </c>
    </row>
    <row r="728" spans="1:32" s="608" customFormat="1" x14ac:dyDescent="0.25">
      <c r="A728" s="624"/>
      <c r="B728" s="617">
        <v>39035181100</v>
      </c>
      <c r="C728" s="617" t="s">
        <v>2396</v>
      </c>
      <c r="D728" s="617" t="s">
        <v>42</v>
      </c>
      <c r="E728" s="617" t="s">
        <v>4853</v>
      </c>
      <c r="F728" s="617" t="s">
        <v>26</v>
      </c>
      <c r="G728" s="624"/>
      <c r="H728" s="669">
        <v>43358</v>
      </c>
      <c r="I728" s="617" t="s">
        <v>1678</v>
      </c>
      <c r="J728" s="617" t="s">
        <v>26</v>
      </c>
      <c r="K728" s="624"/>
      <c r="O728" s="616"/>
      <c r="P728" s="616"/>
      <c r="Q728" s="616"/>
      <c r="AA728" s="624"/>
      <c r="AB728" s="663">
        <v>39035177608</v>
      </c>
      <c r="AC728" s="663" t="s">
        <v>5660</v>
      </c>
      <c r="AD728" s="663" t="s">
        <v>4950</v>
      </c>
      <c r="AE728" s="663" t="s">
        <v>4931</v>
      </c>
      <c r="AF728" s="663" t="s">
        <v>4946</v>
      </c>
    </row>
    <row r="729" spans="1:32" s="608" customFormat="1" x14ac:dyDescent="0.25">
      <c r="A729" s="624"/>
      <c r="B729" s="617">
        <v>39035181201</v>
      </c>
      <c r="C729" s="617" t="s">
        <v>2397</v>
      </c>
      <c r="D729" s="617" t="s">
        <v>42</v>
      </c>
      <c r="E729" s="617" t="s">
        <v>4853</v>
      </c>
      <c r="F729" s="617" t="s">
        <v>26</v>
      </c>
      <c r="G729" s="624"/>
      <c r="H729" s="669">
        <v>44707</v>
      </c>
      <c r="I729" s="617" t="s">
        <v>4874</v>
      </c>
      <c r="J729" s="617" t="s">
        <v>26</v>
      </c>
      <c r="K729" s="624"/>
      <c r="O729" s="616"/>
      <c r="P729" s="616"/>
      <c r="Q729" s="616"/>
      <c r="AA729" s="624"/>
      <c r="AB729" s="663">
        <v>39035177609</v>
      </c>
      <c r="AC729" s="663" t="s">
        <v>5661</v>
      </c>
      <c r="AD729" s="663" t="s">
        <v>4941</v>
      </c>
      <c r="AE729" s="663" t="s">
        <v>4934</v>
      </c>
      <c r="AF729" s="663" t="s">
        <v>4946</v>
      </c>
    </row>
    <row r="730" spans="1:32" s="608" customFormat="1" x14ac:dyDescent="0.25">
      <c r="A730" s="624"/>
      <c r="B730" s="617">
        <v>39035181203</v>
      </c>
      <c r="C730" s="617" t="s">
        <v>2398</v>
      </c>
      <c r="D730" s="617" t="s">
        <v>42</v>
      </c>
      <c r="E730" s="617" t="s">
        <v>4853</v>
      </c>
      <c r="F730" s="617" t="s">
        <v>26</v>
      </c>
      <c r="G730" s="624"/>
      <c r="H730" s="669">
        <v>44688</v>
      </c>
      <c r="I730" s="617" t="s">
        <v>4874</v>
      </c>
      <c r="J730" s="617" t="s">
        <v>26</v>
      </c>
      <c r="K730" s="624"/>
      <c r="O730" s="616"/>
      <c r="P730" s="616"/>
      <c r="Q730" s="616"/>
      <c r="AA730" s="624"/>
      <c r="AB730" s="663">
        <v>39035178101</v>
      </c>
      <c r="AC730" s="663" t="s">
        <v>5662</v>
      </c>
      <c r="AD730" s="663" t="s">
        <v>4950</v>
      </c>
      <c r="AE730" s="663" t="s">
        <v>4934</v>
      </c>
      <c r="AF730" s="663" t="s">
        <v>4946</v>
      </c>
    </row>
    <row r="731" spans="1:32" s="608" customFormat="1" x14ac:dyDescent="0.25">
      <c r="A731" s="624"/>
      <c r="B731" s="617">
        <v>39035181204</v>
      </c>
      <c r="C731" s="617" t="s">
        <v>2399</v>
      </c>
      <c r="D731" s="617" t="s">
        <v>42</v>
      </c>
      <c r="E731" s="617" t="s">
        <v>4853</v>
      </c>
      <c r="F731" s="617" t="s">
        <v>26</v>
      </c>
      <c r="G731" s="624"/>
      <c r="H731" s="669">
        <v>45204</v>
      </c>
      <c r="I731" s="617" t="s">
        <v>4867</v>
      </c>
      <c r="J731" s="617" t="s">
        <v>26</v>
      </c>
      <c r="K731" s="624"/>
      <c r="O731" s="616"/>
      <c r="P731" s="616"/>
      <c r="Q731" s="616"/>
      <c r="AA731" s="624"/>
      <c r="AB731" s="663">
        <v>39035178102</v>
      </c>
      <c r="AC731" s="663" t="s">
        <v>5663</v>
      </c>
      <c r="AD731" s="663" t="s">
        <v>4948</v>
      </c>
      <c r="AE731" s="663" t="s">
        <v>4931</v>
      </c>
      <c r="AF731" s="663" t="s">
        <v>4946</v>
      </c>
    </row>
    <row r="732" spans="1:32" s="608" customFormat="1" x14ac:dyDescent="0.25">
      <c r="A732" s="624"/>
      <c r="B732" s="617">
        <v>39035182103</v>
      </c>
      <c r="C732" s="617" t="s">
        <v>2400</v>
      </c>
      <c r="D732" s="617" t="s">
        <v>42</v>
      </c>
      <c r="E732" s="617" t="s">
        <v>4853</v>
      </c>
      <c r="F732" s="617" t="s">
        <v>26</v>
      </c>
      <c r="G732" s="624"/>
      <c r="H732" s="669">
        <v>41033</v>
      </c>
      <c r="I732" s="617" t="s">
        <v>4867</v>
      </c>
      <c r="J732" s="617" t="s">
        <v>26</v>
      </c>
      <c r="K732" s="624"/>
      <c r="O732" s="616"/>
      <c r="P732" s="616"/>
      <c r="Q732" s="616"/>
      <c r="AA732" s="624"/>
      <c r="AB732" s="663">
        <v>39035178201</v>
      </c>
      <c r="AC732" s="663" t="s">
        <v>5664</v>
      </c>
      <c r="AD732" s="663" t="s">
        <v>4948</v>
      </c>
      <c r="AE732" s="663" t="s">
        <v>4931</v>
      </c>
      <c r="AF732" s="663" t="s">
        <v>4946</v>
      </c>
    </row>
    <row r="733" spans="1:32" s="608" customFormat="1" x14ac:dyDescent="0.25">
      <c r="A733" s="624"/>
      <c r="B733" s="617">
        <v>39035182104</v>
      </c>
      <c r="C733" s="617" t="s">
        <v>2401</v>
      </c>
      <c r="D733" s="617" t="s">
        <v>42</v>
      </c>
      <c r="E733" s="617" t="s">
        <v>4853</v>
      </c>
      <c r="F733" s="617" t="s">
        <v>26</v>
      </c>
      <c r="G733" s="624"/>
      <c r="H733" s="669">
        <v>45001</v>
      </c>
      <c r="I733" s="617" t="s">
        <v>4867</v>
      </c>
      <c r="J733" s="617" t="s">
        <v>26</v>
      </c>
      <c r="K733" s="624"/>
      <c r="O733" s="616"/>
      <c r="P733" s="616"/>
      <c r="Q733" s="616"/>
      <c r="AA733" s="624"/>
      <c r="AB733" s="663">
        <v>39035178204</v>
      </c>
      <c r="AC733" s="663" t="s">
        <v>5665</v>
      </c>
      <c r="AD733" s="663" t="s">
        <v>4950</v>
      </c>
      <c r="AE733" s="663" t="s">
        <v>4931</v>
      </c>
      <c r="AF733" s="663" t="s">
        <v>4946</v>
      </c>
    </row>
    <row r="734" spans="1:32" s="608" customFormat="1" x14ac:dyDescent="0.25">
      <c r="A734" s="624"/>
      <c r="B734" s="617">
        <v>39035182105</v>
      </c>
      <c r="C734" s="617" t="s">
        <v>2402</v>
      </c>
      <c r="D734" s="617" t="s">
        <v>42</v>
      </c>
      <c r="E734" s="617" t="s">
        <v>4853</v>
      </c>
      <c r="F734" s="617" t="s">
        <v>26</v>
      </c>
      <c r="G734" s="624"/>
      <c r="H734" s="669">
        <v>45417</v>
      </c>
      <c r="I734" s="617" t="s">
        <v>4870</v>
      </c>
      <c r="J734" s="617" t="s">
        <v>26</v>
      </c>
      <c r="K734" s="624"/>
      <c r="O734" s="616"/>
      <c r="P734" s="616"/>
      <c r="Q734" s="616"/>
      <c r="AA734" s="624"/>
      <c r="AB734" s="663">
        <v>39035178205</v>
      </c>
      <c r="AC734" s="663" t="s">
        <v>5666</v>
      </c>
      <c r="AD734" s="663" t="s">
        <v>4941</v>
      </c>
      <c r="AE734" s="663" t="s">
        <v>4939</v>
      </c>
      <c r="AF734" s="663" t="s">
        <v>4946</v>
      </c>
    </row>
    <row r="735" spans="1:32" s="608" customFormat="1" x14ac:dyDescent="0.25">
      <c r="A735" s="624"/>
      <c r="B735" s="617">
        <v>39035182106</v>
      </c>
      <c r="C735" s="617" t="s">
        <v>2403</v>
      </c>
      <c r="D735" s="617" t="s">
        <v>42</v>
      </c>
      <c r="E735" s="617" t="s">
        <v>4853</v>
      </c>
      <c r="F735" s="617" t="s">
        <v>26</v>
      </c>
      <c r="G735" s="624"/>
      <c r="H735" s="669">
        <v>45428</v>
      </c>
      <c r="I735" s="617" t="s">
        <v>4870</v>
      </c>
      <c r="J735" s="617" t="s">
        <v>26</v>
      </c>
      <c r="K735" s="624"/>
      <c r="O735" s="616"/>
      <c r="P735" s="616"/>
      <c r="Q735" s="616"/>
      <c r="AA735" s="624"/>
      <c r="AB735" s="663">
        <v>39035178206</v>
      </c>
      <c r="AC735" s="663" t="s">
        <v>5667</v>
      </c>
      <c r="AD735" s="663" t="s">
        <v>4948</v>
      </c>
      <c r="AE735" s="663" t="s">
        <v>4928</v>
      </c>
      <c r="AF735" s="663" t="s">
        <v>4946</v>
      </c>
    </row>
    <row r="736" spans="1:32" s="608" customFormat="1" x14ac:dyDescent="0.25">
      <c r="A736" s="624"/>
      <c r="B736" s="617">
        <v>39035183100</v>
      </c>
      <c r="C736" s="617" t="s">
        <v>2404</v>
      </c>
      <c r="D736" s="617" t="s">
        <v>42</v>
      </c>
      <c r="E736" s="617" t="s">
        <v>4853</v>
      </c>
      <c r="F736" s="617" t="s">
        <v>26</v>
      </c>
      <c r="G736" s="624"/>
      <c r="H736" s="669">
        <v>44053</v>
      </c>
      <c r="I736" s="617" t="s">
        <v>4869</v>
      </c>
      <c r="J736" s="617" t="s">
        <v>26</v>
      </c>
      <c r="K736" s="624"/>
      <c r="O736" s="616"/>
      <c r="P736" s="616"/>
      <c r="Q736" s="616"/>
      <c r="AA736" s="624"/>
      <c r="AB736" s="663">
        <v>39035179101</v>
      </c>
      <c r="AC736" s="663" t="s">
        <v>5668</v>
      </c>
      <c r="AD736" s="663" t="s">
        <v>4938</v>
      </c>
      <c r="AE736" s="663" t="s">
        <v>4939</v>
      </c>
      <c r="AF736" s="663" t="s">
        <v>4946</v>
      </c>
    </row>
    <row r="737" spans="1:32" s="608" customFormat="1" x14ac:dyDescent="0.25">
      <c r="A737" s="624"/>
      <c r="B737" s="617">
        <v>39035183200</v>
      </c>
      <c r="C737" s="617" t="s">
        <v>2405</v>
      </c>
      <c r="D737" s="617" t="s">
        <v>42</v>
      </c>
      <c r="E737" s="617" t="s">
        <v>4853</v>
      </c>
      <c r="F737" s="617" t="s">
        <v>26</v>
      </c>
      <c r="G737" s="624"/>
      <c r="H737" s="669">
        <v>44127</v>
      </c>
      <c r="I737" s="617" t="s">
        <v>4869</v>
      </c>
      <c r="J737" s="617" t="s">
        <v>26</v>
      </c>
      <c r="K737" s="624"/>
      <c r="O737" s="616"/>
      <c r="P737" s="616"/>
      <c r="Q737" s="616"/>
      <c r="AA737" s="624"/>
      <c r="AB737" s="663">
        <v>39035179102</v>
      </c>
      <c r="AC737" s="663" t="s">
        <v>5669</v>
      </c>
      <c r="AD737" s="663" t="s">
        <v>4938</v>
      </c>
      <c r="AE737" s="663" t="s">
        <v>4939</v>
      </c>
      <c r="AF737" s="663" t="s">
        <v>4946</v>
      </c>
    </row>
    <row r="738" spans="1:32" s="608" customFormat="1" x14ac:dyDescent="0.25">
      <c r="A738" s="624"/>
      <c r="B738" s="617">
        <v>39035183300</v>
      </c>
      <c r="C738" s="617" t="s">
        <v>2406</v>
      </c>
      <c r="D738" s="617" t="s">
        <v>42</v>
      </c>
      <c r="E738" s="617" t="s">
        <v>4853</v>
      </c>
      <c r="F738" s="617" t="s">
        <v>26</v>
      </c>
      <c r="G738" s="624"/>
      <c r="H738" s="669">
        <v>44412</v>
      </c>
      <c r="I738" s="617" t="s">
        <v>4868</v>
      </c>
      <c r="J738" s="617" t="s">
        <v>26</v>
      </c>
      <c r="K738" s="624"/>
      <c r="O738" s="616"/>
      <c r="P738" s="616"/>
      <c r="Q738" s="616"/>
      <c r="AA738" s="624"/>
      <c r="AB738" s="663">
        <v>39035180102</v>
      </c>
      <c r="AC738" s="663" t="s">
        <v>5670</v>
      </c>
      <c r="AD738" s="663" t="s">
        <v>4948</v>
      </c>
      <c r="AE738" s="663" t="s">
        <v>4942</v>
      </c>
      <c r="AF738" s="663" t="s">
        <v>4946</v>
      </c>
    </row>
    <row r="739" spans="1:32" s="608" customFormat="1" x14ac:dyDescent="0.25">
      <c r="A739" s="624"/>
      <c r="B739" s="617">
        <v>39035183401</v>
      </c>
      <c r="C739" s="617" t="s">
        <v>2407</v>
      </c>
      <c r="D739" s="617" t="s">
        <v>42</v>
      </c>
      <c r="E739" s="617" t="s">
        <v>4853</v>
      </c>
      <c r="F739" s="617" t="s">
        <v>26</v>
      </c>
      <c r="G739" s="624"/>
      <c r="H739" s="669">
        <v>44444</v>
      </c>
      <c r="I739" s="617" t="s">
        <v>4868</v>
      </c>
      <c r="J739" s="617" t="s">
        <v>26</v>
      </c>
      <c r="K739" s="624"/>
      <c r="O739" s="616"/>
      <c r="P739" s="616"/>
      <c r="Q739" s="616"/>
      <c r="AA739" s="624"/>
      <c r="AB739" s="663">
        <v>39035180103</v>
      </c>
      <c r="AC739" s="663" t="s">
        <v>5671</v>
      </c>
      <c r="AD739" s="663" t="s">
        <v>4948</v>
      </c>
      <c r="AE739" s="663" t="s">
        <v>4934</v>
      </c>
      <c r="AF739" s="663" t="s">
        <v>4946</v>
      </c>
    </row>
    <row r="740" spans="1:32" s="608" customFormat="1" x14ac:dyDescent="0.25">
      <c r="A740" s="624"/>
      <c r="B740" s="617">
        <v>39035183402</v>
      </c>
      <c r="C740" s="617" t="s">
        <v>2408</v>
      </c>
      <c r="D740" s="617" t="s">
        <v>42</v>
      </c>
      <c r="E740" s="617" t="s">
        <v>4853</v>
      </c>
      <c r="F740" s="617" t="s">
        <v>26</v>
      </c>
      <c r="G740" s="624"/>
      <c r="H740" s="669">
        <v>43222</v>
      </c>
      <c r="I740" s="617" t="s">
        <v>4871</v>
      </c>
      <c r="J740" s="617" t="s">
        <v>26</v>
      </c>
      <c r="K740" s="624"/>
      <c r="O740" s="616"/>
      <c r="P740" s="616"/>
      <c r="Q740" s="616"/>
      <c r="AA740" s="624"/>
      <c r="AB740" s="663">
        <v>39035180104</v>
      </c>
      <c r="AC740" s="663" t="s">
        <v>5672</v>
      </c>
      <c r="AD740" s="663" t="s">
        <v>4927</v>
      </c>
      <c r="AE740" s="663" t="s">
        <v>4928</v>
      </c>
      <c r="AF740" s="663" t="s">
        <v>4946</v>
      </c>
    </row>
    <row r="741" spans="1:32" s="608" customFormat="1" x14ac:dyDescent="0.25">
      <c r="A741" s="624"/>
      <c r="B741" s="617">
        <v>39035183501</v>
      </c>
      <c r="C741" s="617" t="s">
        <v>2409</v>
      </c>
      <c r="D741" s="617" t="s">
        <v>42</v>
      </c>
      <c r="E741" s="617" t="s">
        <v>4853</v>
      </c>
      <c r="F741" s="617" t="s">
        <v>26</v>
      </c>
      <c r="G741" s="624"/>
      <c r="H741" s="669">
        <v>43822</v>
      </c>
      <c r="I741" s="617" t="s">
        <v>4871</v>
      </c>
      <c r="J741" s="617" t="s">
        <v>26</v>
      </c>
      <c r="K741" s="624"/>
      <c r="O741" s="616"/>
      <c r="P741" s="616"/>
      <c r="Q741" s="616"/>
      <c r="AA741" s="624"/>
      <c r="AB741" s="663">
        <v>39035181100</v>
      </c>
      <c r="AC741" s="663" t="s">
        <v>5673</v>
      </c>
      <c r="AD741" s="663" t="s">
        <v>4938</v>
      </c>
      <c r="AE741" s="663" t="s">
        <v>4939</v>
      </c>
      <c r="AF741" s="663" t="s">
        <v>4946</v>
      </c>
    </row>
    <row r="742" spans="1:32" s="608" customFormat="1" x14ac:dyDescent="0.25">
      <c r="A742" s="624"/>
      <c r="B742" s="617">
        <v>39035183502</v>
      </c>
      <c r="C742" s="617" t="s">
        <v>2410</v>
      </c>
      <c r="D742" s="617" t="s">
        <v>42</v>
      </c>
      <c r="E742" s="617" t="s">
        <v>4853</v>
      </c>
      <c r="F742" s="617" t="s">
        <v>26</v>
      </c>
      <c r="G742" s="624"/>
      <c r="H742" s="669">
        <v>44813</v>
      </c>
      <c r="I742" s="617" t="s">
        <v>4871</v>
      </c>
      <c r="J742" s="617" t="s">
        <v>26</v>
      </c>
      <c r="K742" s="624"/>
      <c r="O742" s="616"/>
      <c r="P742" s="616"/>
      <c r="Q742" s="616"/>
      <c r="AA742" s="624"/>
      <c r="AB742" s="663">
        <v>39035181201</v>
      </c>
      <c r="AC742" s="663" t="s">
        <v>5674</v>
      </c>
      <c r="AD742" s="663" t="s">
        <v>4938</v>
      </c>
      <c r="AE742" s="663" t="s">
        <v>4934</v>
      </c>
      <c r="AF742" s="663" t="s">
        <v>4946</v>
      </c>
    </row>
    <row r="743" spans="1:32" s="608" customFormat="1" x14ac:dyDescent="0.25">
      <c r="A743" s="624"/>
      <c r="B743" s="617">
        <v>39035183603</v>
      </c>
      <c r="C743" s="617" t="s">
        <v>2411</v>
      </c>
      <c r="D743" s="617" t="s">
        <v>42</v>
      </c>
      <c r="E743" s="617" t="s">
        <v>4853</v>
      </c>
      <c r="F743" s="617" t="s">
        <v>26</v>
      </c>
      <c r="G743" s="624"/>
      <c r="H743" s="669">
        <v>43739</v>
      </c>
      <c r="I743" s="617" t="s">
        <v>4871</v>
      </c>
      <c r="J743" s="617" t="s">
        <v>26</v>
      </c>
      <c r="K743" s="624"/>
      <c r="O743" s="616"/>
      <c r="P743" s="616"/>
      <c r="Q743" s="616"/>
      <c r="AA743" s="624"/>
      <c r="AB743" s="663">
        <v>39035181203</v>
      </c>
      <c r="AC743" s="663" t="s">
        <v>5675</v>
      </c>
      <c r="AD743" s="663" t="s">
        <v>4938</v>
      </c>
      <c r="AE743" s="663" t="s">
        <v>4934</v>
      </c>
      <c r="AF743" s="663" t="s">
        <v>4946</v>
      </c>
    </row>
    <row r="744" spans="1:32" s="608" customFormat="1" x14ac:dyDescent="0.25">
      <c r="A744" s="624"/>
      <c r="B744" s="617">
        <v>39035183604</v>
      </c>
      <c r="C744" s="617" t="s">
        <v>2412</v>
      </c>
      <c r="D744" s="617" t="s">
        <v>42</v>
      </c>
      <c r="E744" s="617" t="s">
        <v>4853</v>
      </c>
      <c r="F744" s="617" t="s">
        <v>26</v>
      </c>
      <c r="G744" s="624"/>
      <c r="H744" s="669">
        <v>45101</v>
      </c>
      <c r="I744" s="617" t="s">
        <v>1674</v>
      </c>
      <c r="J744" s="617" t="s">
        <v>26</v>
      </c>
      <c r="K744" s="624"/>
      <c r="O744" s="616"/>
      <c r="P744" s="616"/>
      <c r="Q744" s="616"/>
      <c r="AA744" s="624"/>
      <c r="AB744" s="663">
        <v>39035181204</v>
      </c>
      <c r="AC744" s="663" t="s">
        <v>5676</v>
      </c>
      <c r="AD744" s="663" t="s">
        <v>4938</v>
      </c>
      <c r="AE744" s="663" t="s">
        <v>4939</v>
      </c>
      <c r="AF744" s="663" t="s">
        <v>4946</v>
      </c>
    </row>
    <row r="745" spans="1:32" s="608" customFormat="1" x14ac:dyDescent="0.25">
      <c r="A745" s="624"/>
      <c r="B745" s="617">
        <v>39035183605</v>
      </c>
      <c r="C745" s="617" t="s">
        <v>2413</v>
      </c>
      <c r="D745" s="617" t="s">
        <v>42</v>
      </c>
      <c r="E745" s="617" t="s">
        <v>4853</v>
      </c>
      <c r="F745" s="617" t="s">
        <v>26</v>
      </c>
      <c r="G745" s="624"/>
      <c r="H745" s="669">
        <v>43620</v>
      </c>
      <c r="I745" s="617" t="s">
        <v>4872</v>
      </c>
      <c r="J745" s="617" t="s">
        <v>26</v>
      </c>
      <c r="K745" s="624"/>
      <c r="O745" s="616"/>
      <c r="P745" s="616"/>
      <c r="Q745" s="616"/>
      <c r="AA745" s="624"/>
      <c r="AB745" s="663">
        <v>39035182103</v>
      </c>
      <c r="AC745" s="663" t="s">
        <v>5677</v>
      </c>
      <c r="AD745" s="663" t="s">
        <v>4941</v>
      </c>
      <c r="AE745" s="663" t="s">
        <v>4934</v>
      </c>
      <c r="AF745" s="663" t="s">
        <v>4946</v>
      </c>
    </row>
    <row r="746" spans="1:32" s="608" customFormat="1" x14ac:dyDescent="0.25">
      <c r="A746" s="624"/>
      <c r="B746" s="617">
        <v>39035183606</v>
      </c>
      <c r="C746" s="617" t="s">
        <v>2414</v>
      </c>
      <c r="D746" s="617" t="s">
        <v>42</v>
      </c>
      <c r="E746" s="617" t="s">
        <v>4853</v>
      </c>
      <c r="F746" s="617" t="s">
        <v>26</v>
      </c>
      <c r="G746" s="624"/>
      <c r="H746" s="669">
        <v>43533</v>
      </c>
      <c r="I746" s="617" t="s">
        <v>4872</v>
      </c>
      <c r="J746" s="617" t="s">
        <v>26</v>
      </c>
      <c r="K746" s="624"/>
      <c r="O746" s="616"/>
      <c r="P746" s="616"/>
      <c r="Q746" s="616"/>
      <c r="AA746" s="624"/>
      <c r="AB746" s="663">
        <v>39035182104</v>
      </c>
      <c r="AC746" s="663" t="s">
        <v>5678</v>
      </c>
      <c r="AD746" s="663" t="s">
        <v>4941</v>
      </c>
      <c r="AE746" s="663" t="s">
        <v>4934</v>
      </c>
      <c r="AF746" s="663" t="s">
        <v>4946</v>
      </c>
    </row>
    <row r="747" spans="1:32" s="608" customFormat="1" x14ac:dyDescent="0.25">
      <c r="A747" s="624"/>
      <c r="B747" s="617">
        <v>39035184103</v>
      </c>
      <c r="C747" s="617" t="s">
        <v>2415</v>
      </c>
      <c r="D747" s="617" t="s">
        <v>42</v>
      </c>
      <c r="E747" s="617" t="s">
        <v>4853</v>
      </c>
      <c r="F747" s="617" t="s">
        <v>26</v>
      </c>
      <c r="G747" s="624"/>
      <c r="H747" s="669">
        <v>43452</v>
      </c>
      <c r="I747" s="617" t="s">
        <v>1676</v>
      </c>
      <c r="J747" s="617" t="s">
        <v>26</v>
      </c>
      <c r="K747" s="624"/>
      <c r="O747" s="616"/>
      <c r="P747" s="616"/>
      <c r="Q747" s="616"/>
      <c r="AA747" s="624"/>
      <c r="AB747" s="663">
        <v>39035182105</v>
      </c>
      <c r="AC747" s="663" t="s">
        <v>5679</v>
      </c>
      <c r="AD747" s="663" t="s">
        <v>4941</v>
      </c>
      <c r="AE747" s="663" t="s">
        <v>4931</v>
      </c>
      <c r="AF747" s="663" t="s">
        <v>4946</v>
      </c>
    </row>
    <row r="748" spans="1:32" s="608" customFormat="1" x14ac:dyDescent="0.25">
      <c r="A748" s="624"/>
      <c r="B748" s="617">
        <v>39035184104</v>
      </c>
      <c r="C748" s="617" t="s">
        <v>2416</v>
      </c>
      <c r="D748" s="617" t="s">
        <v>42</v>
      </c>
      <c r="E748" s="617" t="s">
        <v>4853</v>
      </c>
      <c r="F748" s="617" t="s">
        <v>26</v>
      </c>
      <c r="G748" s="624"/>
      <c r="H748" s="669">
        <v>43439</v>
      </c>
      <c r="I748" s="617" t="s">
        <v>1676</v>
      </c>
      <c r="J748" s="617" t="s">
        <v>26</v>
      </c>
      <c r="K748" s="624"/>
      <c r="O748" s="616"/>
      <c r="P748" s="616"/>
      <c r="Q748" s="616"/>
      <c r="AA748" s="624"/>
      <c r="AB748" s="663">
        <v>39035182106</v>
      </c>
      <c r="AC748" s="663" t="s">
        <v>5680</v>
      </c>
      <c r="AD748" s="663" t="s">
        <v>4941</v>
      </c>
      <c r="AE748" s="663" t="s">
        <v>4942</v>
      </c>
      <c r="AF748" s="663" t="s">
        <v>4946</v>
      </c>
    </row>
    <row r="749" spans="1:32" s="608" customFormat="1" x14ac:dyDescent="0.25">
      <c r="A749" s="624"/>
      <c r="B749" s="617">
        <v>39035184105</v>
      </c>
      <c r="C749" s="617" t="s">
        <v>2417</v>
      </c>
      <c r="D749" s="617" t="s">
        <v>42</v>
      </c>
      <c r="E749" s="617" t="s">
        <v>4853</v>
      </c>
      <c r="F749" s="617" t="s">
        <v>26</v>
      </c>
      <c r="G749" s="624"/>
      <c r="H749" s="669">
        <v>45106</v>
      </c>
      <c r="I749" s="617" t="s">
        <v>4867</v>
      </c>
      <c r="J749" s="617" t="s">
        <v>26</v>
      </c>
      <c r="K749" s="624"/>
      <c r="O749" s="616"/>
      <c r="P749" s="616"/>
      <c r="Q749" s="616"/>
      <c r="AA749" s="624"/>
      <c r="AB749" s="663">
        <v>39035183100</v>
      </c>
      <c r="AC749" s="663" t="s">
        <v>5681</v>
      </c>
      <c r="AD749" s="663" t="s">
        <v>4938</v>
      </c>
      <c r="AE749" s="663" t="s">
        <v>4942</v>
      </c>
      <c r="AF749" s="663" t="s">
        <v>4946</v>
      </c>
    </row>
    <row r="750" spans="1:32" s="608" customFormat="1" x14ac:dyDescent="0.25">
      <c r="A750" s="624"/>
      <c r="B750" s="617">
        <v>39035184106</v>
      </c>
      <c r="C750" s="617" t="s">
        <v>2418</v>
      </c>
      <c r="D750" s="617" t="s">
        <v>42</v>
      </c>
      <c r="E750" s="617" t="s">
        <v>4853</v>
      </c>
      <c r="F750" s="617" t="s">
        <v>26</v>
      </c>
      <c r="G750" s="624"/>
      <c r="H750" s="669">
        <v>45214</v>
      </c>
      <c r="I750" s="617" t="s">
        <v>4867</v>
      </c>
      <c r="J750" s="617" t="s">
        <v>26</v>
      </c>
      <c r="K750" s="624"/>
      <c r="O750" s="616"/>
      <c r="P750" s="616"/>
      <c r="Q750" s="616"/>
      <c r="AA750" s="624"/>
      <c r="AB750" s="663">
        <v>39035183200</v>
      </c>
      <c r="AC750" s="663" t="s">
        <v>5682</v>
      </c>
      <c r="AD750" s="663" t="s">
        <v>4938</v>
      </c>
      <c r="AE750" s="663" t="s">
        <v>4942</v>
      </c>
      <c r="AF750" s="663" t="s">
        <v>4946</v>
      </c>
    </row>
    <row r="751" spans="1:32" s="608" customFormat="1" x14ac:dyDescent="0.25">
      <c r="A751" s="624"/>
      <c r="B751" s="617">
        <v>39035184108</v>
      </c>
      <c r="C751" s="617" t="s">
        <v>2419</v>
      </c>
      <c r="D751" s="617" t="s">
        <v>42</v>
      </c>
      <c r="E751" s="617" t="s">
        <v>4853</v>
      </c>
      <c r="F751" s="617" t="s">
        <v>26</v>
      </c>
      <c r="G751" s="624"/>
      <c r="H751" s="669">
        <v>41095</v>
      </c>
      <c r="I751" s="617" t="s">
        <v>4867</v>
      </c>
      <c r="J751" s="617" t="s">
        <v>26</v>
      </c>
      <c r="K751" s="624"/>
      <c r="O751" s="616"/>
      <c r="P751" s="616"/>
      <c r="Q751" s="616"/>
      <c r="AA751" s="624"/>
      <c r="AB751" s="663">
        <v>39035183300</v>
      </c>
      <c r="AC751" s="663" t="s">
        <v>5683</v>
      </c>
      <c r="AD751" s="663" t="s">
        <v>4938</v>
      </c>
      <c r="AE751" s="663" t="s">
        <v>4939</v>
      </c>
      <c r="AF751" s="663" t="s">
        <v>4946</v>
      </c>
    </row>
    <row r="752" spans="1:32" s="608" customFormat="1" x14ac:dyDescent="0.25">
      <c r="A752" s="624"/>
      <c r="B752" s="617">
        <v>39035185101</v>
      </c>
      <c r="C752" s="617" t="s">
        <v>2420</v>
      </c>
      <c r="D752" s="617" t="s">
        <v>42</v>
      </c>
      <c r="E752" s="617" t="s">
        <v>4853</v>
      </c>
      <c r="F752" s="617" t="s">
        <v>26</v>
      </c>
      <c r="G752" s="624"/>
      <c r="H752" s="669">
        <v>41085</v>
      </c>
      <c r="I752" s="617" t="s">
        <v>4867</v>
      </c>
      <c r="J752" s="617" t="s">
        <v>26</v>
      </c>
      <c r="K752" s="624"/>
      <c r="O752" s="616"/>
      <c r="P752" s="616"/>
      <c r="Q752" s="616"/>
      <c r="AA752" s="624"/>
      <c r="AB752" s="663">
        <v>39035183401</v>
      </c>
      <c r="AC752" s="663" t="s">
        <v>5684</v>
      </c>
      <c r="AD752" s="663" t="s">
        <v>4941</v>
      </c>
      <c r="AE752" s="663" t="s">
        <v>4934</v>
      </c>
      <c r="AF752" s="663" t="s">
        <v>4946</v>
      </c>
    </row>
    <row r="753" spans="1:32" s="608" customFormat="1" x14ac:dyDescent="0.25">
      <c r="A753" s="624"/>
      <c r="B753" s="617">
        <v>39035185102</v>
      </c>
      <c r="C753" s="617" t="s">
        <v>2421</v>
      </c>
      <c r="D753" s="617" t="s">
        <v>42</v>
      </c>
      <c r="E753" s="617" t="s">
        <v>4853</v>
      </c>
      <c r="F753" s="617" t="s">
        <v>26</v>
      </c>
      <c r="G753" s="624"/>
      <c r="H753" s="669">
        <v>41097</v>
      </c>
      <c r="I753" s="617" t="s">
        <v>4867</v>
      </c>
      <c r="J753" s="617" t="s">
        <v>26</v>
      </c>
      <c r="K753" s="624"/>
      <c r="O753" s="616"/>
      <c r="P753" s="616"/>
      <c r="Q753" s="616"/>
      <c r="AA753" s="624"/>
      <c r="AB753" s="663">
        <v>39035183402</v>
      </c>
      <c r="AC753" s="663" t="s">
        <v>5685</v>
      </c>
      <c r="AD753" s="663" t="s">
        <v>4948</v>
      </c>
      <c r="AE753" s="663" t="s">
        <v>4931</v>
      </c>
      <c r="AF753" s="663" t="s">
        <v>4946</v>
      </c>
    </row>
    <row r="754" spans="1:32" s="608" customFormat="1" x14ac:dyDescent="0.25">
      <c r="A754" s="624"/>
      <c r="B754" s="617">
        <v>39035185103</v>
      </c>
      <c r="C754" s="617" t="s">
        <v>2422</v>
      </c>
      <c r="D754" s="617" t="s">
        <v>42</v>
      </c>
      <c r="E754" s="617" t="s">
        <v>4853</v>
      </c>
      <c r="F754" s="617" t="s">
        <v>26</v>
      </c>
      <c r="G754" s="624"/>
      <c r="H754" s="669">
        <v>44704</v>
      </c>
      <c r="I754" s="617" t="s">
        <v>4874</v>
      </c>
      <c r="J754" s="617" t="s">
        <v>26</v>
      </c>
      <c r="K754" s="624"/>
      <c r="O754" s="616"/>
      <c r="P754" s="616"/>
      <c r="Q754" s="616"/>
      <c r="AA754" s="624"/>
      <c r="AB754" s="663">
        <v>39035183501</v>
      </c>
      <c r="AC754" s="663" t="s">
        <v>5686</v>
      </c>
      <c r="AD754" s="663" t="s">
        <v>4948</v>
      </c>
      <c r="AE754" s="663" t="s">
        <v>4934</v>
      </c>
      <c r="AF754" s="663" t="s">
        <v>4946</v>
      </c>
    </row>
    <row r="755" spans="1:32" s="608" customFormat="1" x14ac:dyDescent="0.25">
      <c r="A755" s="624"/>
      <c r="B755" s="617">
        <v>39035185104</v>
      </c>
      <c r="C755" s="617" t="s">
        <v>2423</v>
      </c>
      <c r="D755" s="617" t="s">
        <v>42</v>
      </c>
      <c r="E755" s="617" t="s">
        <v>4853</v>
      </c>
      <c r="F755" s="617" t="s">
        <v>26</v>
      </c>
      <c r="G755" s="624"/>
      <c r="H755" s="669">
        <v>44656</v>
      </c>
      <c r="I755" s="617" t="s">
        <v>4874</v>
      </c>
      <c r="J755" s="617" t="s">
        <v>26</v>
      </c>
      <c r="K755" s="624"/>
      <c r="O755" s="616"/>
      <c r="P755" s="616"/>
      <c r="Q755" s="616"/>
      <c r="AA755" s="624"/>
      <c r="AB755" s="663">
        <v>39035183502</v>
      </c>
      <c r="AC755" s="663" t="s">
        <v>5687</v>
      </c>
      <c r="AD755" s="663" t="s">
        <v>4941</v>
      </c>
      <c r="AE755" s="663" t="s">
        <v>4942</v>
      </c>
      <c r="AF755" s="663" t="s">
        <v>4946</v>
      </c>
    </row>
    <row r="756" spans="1:32" s="608" customFormat="1" x14ac:dyDescent="0.25">
      <c r="A756" s="624"/>
      <c r="B756" s="617">
        <v>39035185201</v>
      </c>
      <c r="C756" s="617" t="s">
        <v>2424</v>
      </c>
      <c r="D756" s="617" t="s">
        <v>42</v>
      </c>
      <c r="E756" s="617" t="s">
        <v>4853</v>
      </c>
      <c r="F756" s="617" t="s">
        <v>26</v>
      </c>
      <c r="G756" s="624"/>
      <c r="H756" s="669">
        <v>44117</v>
      </c>
      <c r="I756" s="617" t="s">
        <v>4869</v>
      </c>
      <c r="J756" s="617" t="s">
        <v>26</v>
      </c>
      <c r="K756" s="624"/>
      <c r="O756" s="616"/>
      <c r="P756" s="616"/>
      <c r="Q756" s="616"/>
      <c r="AA756" s="624"/>
      <c r="AB756" s="663">
        <v>39035183603</v>
      </c>
      <c r="AC756" s="663" t="s">
        <v>5688</v>
      </c>
      <c r="AD756" s="663" t="s">
        <v>4950</v>
      </c>
      <c r="AE756" s="663" t="s">
        <v>4942</v>
      </c>
      <c r="AF756" s="663" t="s">
        <v>4946</v>
      </c>
    </row>
    <row r="757" spans="1:32" s="608" customFormat="1" x14ac:dyDescent="0.25">
      <c r="A757" s="624"/>
      <c r="B757" s="617">
        <v>39035185202</v>
      </c>
      <c r="C757" s="617" t="s">
        <v>2425</v>
      </c>
      <c r="D757" s="617" t="s">
        <v>42</v>
      </c>
      <c r="E757" s="617" t="s">
        <v>4853</v>
      </c>
      <c r="F757" s="617" t="s">
        <v>26</v>
      </c>
      <c r="G757" s="624"/>
      <c r="H757" s="669">
        <v>43344</v>
      </c>
      <c r="I757" s="617" t="s">
        <v>1678</v>
      </c>
      <c r="J757" s="617" t="s">
        <v>26</v>
      </c>
      <c r="K757" s="624"/>
      <c r="O757" s="616"/>
      <c r="P757" s="616"/>
      <c r="Q757" s="616"/>
      <c r="AA757" s="624"/>
      <c r="AB757" s="663">
        <v>39035183604</v>
      </c>
      <c r="AC757" s="663" t="s">
        <v>5689</v>
      </c>
      <c r="AD757" s="663" t="s">
        <v>4950</v>
      </c>
      <c r="AE757" s="663" t="s">
        <v>4942</v>
      </c>
      <c r="AF757" s="663" t="s">
        <v>4946</v>
      </c>
    </row>
    <row r="758" spans="1:32" s="608" customFormat="1" x14ac:dyDescent="0.25">
      <c r="A758" s="624"/>
      <c r="B758" s="617">
        <v>39035185203</v>
      </c>
      <c r="C758" s="617" t="s">
        <v>2426</v>
      </c>
      <c r="D758" s="617" t="s">
        <v>42</v>
      </c>
      <c r="E758" s="617" t="s">
        <v>4853</v>
      </c>
      <c r="F758" s="617" t="s">
        <v>26</v>
      </c>
      <c r="G758" s="624"/>
      <c r="H758" s="669">
        <v>43080</v>
      </c>
      <c r="I758" s="617" t="s">
        <v>4871</v>
      </c>
      <c r="J758" s="617" t="s">
        <v>26</v>
      </c>
      <c r="K758" s="624"/>
      <c r="O758" s="616"/>
      <c r="P758" s="616"/>
      <c r="Q758" s="616"/>
      <c r="AA758" s="624"/>
      <c r="AB758" s="663">
        <v>39035183605</v>
      </c>
      <c r="AC758" s="663" t="s">
        <v>5690</v>
      </c>
      <c r="AD758" s="663" t="s">
        <v>4941</v>
      </c>
      <c r="AE758" s="663" t="s">
        <v>4928</v>
      </c>
      <c r="AF758" s="663" t="s">
        <v>4946</v>
      </c>
    </row>
    <row r="759" spans="1:32" s="608" customFormat="1" x14ac:dyDescent="0.25">
      <c r="A759" s="624"/>
      <c r="B759" s="617">
        <v>39035186103</v>
      </c>
      <c r="C759" s="617" t="s">
        <v>2427</v>
      </c>
      <c r="D759" s="617" t="s">
        <v>42</v>
      </c>
      <c r="E759" s="617" t="s">
        <v>4853</v>
      </c>
      <c r="F759" s="617" t="s">
        <v>26</v>
      </c>
      <c r="G759" s="624"/>
      <c r="H759" s="669">
        <v>43135</v>
      </c>
      <c r="I759" s="617" t="s">
        <v>4871</v>
      </c>
      <c r="J759" s="617" t="s">
        <v>26</v>
      </c>
      <c r="K759" s="624"/>
      <c r="O759" s="616"/>
      <c r="P759" s="616"/>
      <c r="Q759" s="616"/>
      <c r="AA759" s="624"/>
      <c r="AB759" s="663">
        <v>39035183606</v>
      </c>
      <c r="AC759" s="663" t="s">
        <v>5691</v>
      </c>
      <c r="AD759" s="663" t="s">
        <v>4941</v>
      </c>
      <c r="AE759" s="663" t="s">
        <v>4931</v>
      </c>
      <c r="AF759" s="663" t="s">
        <v>4946</v>
      </c>
    </row>
    <row r="760" spans="1:32" s="608" customFormat="1" x14ac:dyDescent="0.25">
      <c r="A760" s="624"/>
      <c r="B760" s="617">
        <v>39035186104</v>
      </c>
      <c r="C760" s="617" t="s">
        <v>2428</v>
      </c>
      <c r="D760" s="617" t="s">
        <v>42</v>
      </c>
      <c r="E760" s="617" t="s">
        <v>4853</v>
      </c>
      <c r="F760" s="617" t="s">
        <v>26</v>
      </c>
      <c r="G760" s="624"/>
      <c r="H760" s="669">
        <v>43050</v>
      </c>
      <c r="I760" s="617" t="s">
        <v>4871</v>
      </c>
      <c r="J760" s="617" t="s">
        <v>26</v>
      </c>
      <c r="K760" s="624"/>
      <c r="O760" s="616"/>
      <c r="P760" s="616"/>
      <c r="Q760" s="616"/>
      <c r="AA760" s="624"/>
      <c r="AB760" s="663">
        <v>39035184103</v>
      </c>
      <c r="AC760" s="663" t="s">
        <v>5692</v>
      </c>
      <c r="AD760" s="663" t="s">
        <v>4938</v>
      </c>
      <c r="AE760" s="663" t="s">
        <v>4931</v>
      </c>
      <c r="AF760" s="663" t="s">
        <v>4946</v>
      </c>
    </row>
    <row r="761" spans="1:32" s="608" customFormat="1" x14ac:dyDescent="0.25">
      <c r="A761" s="624"/>
      <c r="B761" s="617">
        <v>39035186105</v>
      </c>
      <c r="C761" s="617" t="s">
        <v>2429</v>
      </c>
      <c r="D761" s="617" t="s">
        <v>42</v>
      </c>
      <c r="E761" s="617" t="s">
        <v>4853</v>
      </c>
      <c r="F761" s="617" t="s">
        <v>26</v>
      </c>
      <c r="G761" s="624"/>
      <c r="H761" s="669">
        <v>45233</v>
      </c>
      <c r="I761" s="617" t="s">
        <v>4867</v>
      </c>
      <c r="J761" s="617" t="s">
        <v>26</v>
      </c>
      <c r="K761" s="624"/>
      <c r="O761" s="616"/>
      <c r="P761" s="616"/>
      <c r="Q761" s="616"/>
      <c r="AA761" s="624"/>
      <c r="AB761" s="663">
        <v>39035184104</v>
      </c>
      <c r="AC761" s="663" t="s">
        <v>5693</v>
      </c>
      <c r="AD761" s="663" t="s">
        <v>4938</v>
      </c>
      <c r="AE761" s="663" t="s">
        <v>4931</v>
      </c>
      <c r="AF761" s="663" t="s">
        <v>4946</v>
      </c>
    </row>
    <row r="762" spans="1:32" s="608" customFormat="1" x14ac:dyDescent="0.25">
      <c r="A762" s="624"/>
      <c r="B762" s="617">
        <v>39035186106</v>
      </c>
      <c r="C762" s="617" t="s">
        <v>2430</v>
      </c>
      <c r="D762" s="617" t="s">
        <v>42</v>
      </c>
      <c r="E762" s="617" t="s">
        <v>4853</v>
      </c>
      <c r="F762" s="617" t="s">
        <v>26</v>
      </c>
      <c r="G762" s="624"/>
      <c r="H762" s="669">
        <v>45223</v>
      </c>
      <c r="I762" s="617" t="s">
        <v>4867</v>
      </c>
      <c r="J762" s="617" t="s">
        <v>26</v>
      </c>
      <c r="K762" s="624"/>
      <c r="O762" s="616"/>
      <c r="P762" s="616"/>
      <c r="Q762" s="616"/>
      <c r="AA762" s="624"/>
      <c r="AB762" s="663">
        <v>39035184105</v>
      </c>
      <c r="AC762" s="663" t="s">
        <v>5694</v>
      </c>
      <c r="AD762" s="663" t="s">
        <v>4938</v>
      </c>
      <c r="AE762" s="663" t="s">
        <v>4939</v>
      </c>
      <c r="AF762" s="663" t="s">
        <v>4946</v>
      </c>
    </row>
    <row r="763" spans="1:32" s="608" customFormat="1" x14ac:dyDescent="0.25">
      <c r="A763" s="624"/>
      <c r="B763" s="617">
        <v>39035186107</v>
      </c>
      <c r="C763" s="617" t="s">
        <v>2431</v>
      </c>
      <c r="D763" s="617" t="s">
        <v>42</v>
      </c>
      <c r="E763" s="617" t="s">
        <v>4853</v>
      </c>
      <c r="F763" s="617" t="s">
        <v>26</v>
      </c>
      <c r="G763" s="624"/>
      <c r="H763" s="669">
        <v>47060</v>
      </c>
      <c r="I763" s="617" t="s">
        <v>4867</v>
      </c>
      <c r="J763" s="617" t="s">
        <v>26</v>
      </c>
      <c r="K763" s="624"/>
      <c r="O763" s="616"/>
      <c r="P763" s="616"/>
      <c r="Q763" s="616"/>
      <c r="AA763" s="624"/>
      <c r="AB763" s="663">
        <v>39035184106</v>
      </c>
      <c r="AC763" s="663" t="s">
        <v>5695</v>
      </c>
      <c r="AD763" s="663" t="s">
        <v>4938</v>
      </c>
      <c r="AE763" s="663" t="s">
        <v>4931</v>
      </c>
      <c r="AF763" s="663" t="s">
        <v>4946</v>
      </c>
    </row>
    <row r="764" spans="1:32" s="608" customFormat="1" x14ac:dyDescent="0.25">
      <c r="A764" s="624"/>
      <c r="B764" s="617">
        <v>39035186201</v>
      </c>
      <c r="C764" s="617" t="s">
        <v>2432</v>
      </c>
      <c r="D764" s="617" t="s">
        <v>42</v>
      </c>
      <c r="E764" s="617" t="s">
        <v>4853</v>
      </c>
      <c r="F764" s="617" t="s">
        <v>26</v>
      </c>
      <c r="G764" s="624"/>
      <c r="H764" s="669">
        <v>41063</v>
      </c>
      <c r="I764" s="617" t="s">
        <v>4867</v>
      </c>
      <c r="J764" s="617" t="s">
        <v>26</v>
      </c>
      <c r="K764" s="624"/>
      <c r="O764" s="616"/>
      <c r="P764" s="616"/>
      <c r="Q764" s="616"/>
      <c r="AA764" s="624"/>
      <c r="AB764" s="663">
        <v>39035184108</v>
      </c>
      <c r="AC764" s="663" t="s">
        <v>5696</v>
      </c>
      <c r="AD764" s="663" t="s">
        <v>4938</v>
      </c>
      <c r="AE764" s="663" t="s">
        <v>4931</v>
      </c>
      <c r="AF764" s="663" t="s">
        <v>4946</v>
      </c>
    </row>
    <row r="765" spans="1:32" s="608" customFormat="1" x14ac:dyDescent="0.25">
      <c r="A765" s="624"/>
      <c r="B765" s="617">
        <v>39035186202</v>
      </c>
      <c r="C765" s="617" t="s">
        <v>2433</v>
      </c>
      <c r="D765" s="617" t="s">
        <v>42</v>
      </c>
      <c r="E765" s="617" t="s">
        <v>4853</v>
      </c>
      <c r="F765" s="617" t="s">
        <v>26</v>
      </c>
      <c r="G765" s="624"/>
      <c r="H765" s="669">
        <v>47041</v>
      </c>
      <c r="I765" s="617" t="s">
        <v>4867</v>
      </c>
      <c r="J765" s="617" t="s">
        <v>26</v>
      </c>
      <c r="K765" s="624"/>
      <c r="O765" s="616"/>
      <c r="P765" s="616"/>
      <c r="Q765" s="616"/>
      <c r="AA765" s="624"/>
      <c r="AB765" s="663">
        <v>39035185101</v>
      </c>
      <c r="AC765" s="663" t="s">
        <v>5697</v>
      </c>
      <c r="AD765" s="663" t="s">
        <v>4927</v>
      </c>
      <c r="AE765" s="663" t="s">
        <v>4928</v>
      </c>
      <c r="AF765" s="663" t="s">
        <v>4946</v>
      </c>
    </row>
    <row r="766" spans="1:32" s="608" customFormat="1" x14ac:dyDescent="0.25">
      <c r="A766" s="624"/>
      <c r="B766" s="617">
        <v>39035186203</v>
      </c>
      <c r="C766" s="617" t="s">
        <v>2434</v>
      </c>
      <c r="D766" s="617" t="s">
        <v>42</v>
      </c>
      <c r="E766" s="617" t="s">
        <v>4853</v>
      </c>
      <c r="F766" s="617" t="s">
        <v>26</v>
      </c>
      <c r="G766" s="624"/>
      <c r="H766" s="669">
        <v>45051</v>
      </c>
      <c r="I766" s="617" t="s">
        <v>4867</v>
      </c>
      <c r="J766" s="617" t="s">
        <v>26</v>
      </c>
      <c r="K766" s="624"/>
      <c r="O766" s="616"/>
      <c r="P766" s="616"/>
      <c r="Q766" s="616"/>
      <c r="AA766" s="624"/>
      <c r="AB766" s="663">
        <v>39035185102</v>
      </c>
      <c r="AC766" s="663" t="s">
        <v>5698</v>
      </c>
      <c r="AD766" s="663" t="s">
        <v>4950</v>
      </c>
      <c r="AE766" s="663" t="s">
        <v>4928</v>
      </c>
      <c r="AF766" s="663" t="s">
        <v>4946</v>
      </c>
    </row>
    <row r="767" spans="1:32" s="608" customFormat="1" x14ac:dyDescent="0.25">
      <c r="A767" s="624"/>
      <c r="B767" s="617">
        <v>39035186205</v>
      </c>
      <c r="C767" s="617" t="s">
        <v>2435</v>
      </c>
      <c r="D767" s="617" t="s">
        <v>42</v>
      </c>
      <c r="E767" s="617" t="s">
        <v>4853</v>
      </c>
      <c r="F767" s="617" t="s">
        <v>26</v>
      </c>
      <c r="G767" s="624"/>
      <c r="H767" s="669">
        <v>45238</v>
      </c>
      <c r="I767" s="617" t="s">
        <v>4867</v>
      </c>
      <c r="J767" s="617" t="s">
        <v>26</v>
      </c>
      <c r="K767" s="624"/>
      <c r="O767" s="616"/>
      <c r="P767" s="616"/>
      <c r="Q767" s="616"/>
      <c r="AA767" s="624"/>
      <c r="AB767" s="663">
        <v>39035185103</v>
      </c>
      <c r="AC767" s="663" t="s">
        <v>5699</v>
      </c>
      <c r="AD767" s="663" t="s">
        <v>4950</v>
      </c>
      <c r="AE767" s="663" t="s">
        <v>4931</v>
      </c>
      <c r="AF767" s="663" t="s">
        <v>4946</v>
      </c>
    </row>
    <row r="768" spans="1:32" s="608" customFormat="1" x14ac:dyDescent="0.25">
      <c r="A768" s="624"/>
      <c r="B768" s="617">
        <v>39035186206</v>
      </c>
      <c r="C768" s="617" t="s">
        <v>2436</v>
      </c>
      <c r="D768" s="617" t="s">
        <v>42</v>
      </c>
      <c r="E768" s="617" t="s">
        <v>4853</v>
      </c>
      <c r="F768" s="617" t="s">
        <v>26</v>
      </c>
      <c r="G768" s="624"/>
      <c r="H768" s="669">
        <v>45224</v>
      </c>
      <c r="I768" s="617" t="s">
        <v>4867</v>
      </c>
      <c r="J768" s="617" t="s">
        <v>26</v>
      </c>
      <c r="K768" s="624"/>
      <c r="O768" s="616"/>
      <c r="P768" s="616"/>
      <c r="Q768" s="616"/>
      <c r="AA768" s="624"/>
      <c r="AB768" s="663">
        <v>39035185104</v>
      </c>
      <c r="AC768" s="663" t="s">
        <v>5700</v>
      </c>
      <c r="AD768" s="663" t="s">
        <v>4948</v>
      </c>
      <c r="AE768" s="663" t="s">
        <v>4934</v>
      </c>
      <c r="AF768" s="663" t="s">
        <v>4946</v>
      </c>
    </row>
    <row r="769" spans="1:32" s="608" customFormat="1" x14ac:dyDescent="0.25">
      <c r="A769" s="624"/>
      <c r="B769" s="617">
        <v>39035187103</v>
      </c>
      <c r="C769" s="617" t="s">
        <v>2437</v>
      </c>
      <c r="D769" s="617" t="s">
        <v>42</v>
      </c>
      <c r="E769" s="617" t="s">
        <v>4853</v>
      </c>
      <c r="F769" s="617" t="s">
        <v>26</v>
      </c>
      <c r="G769" s="624"/>
      <c r="H769" s="669">
        <v>45120</v>
      </c>
      <c r="I769" s="617" t="s">
        <v>4867</v>
      </c>
      <c r="J769" s="617" t="s">
        <v>26</v>
      </c>
      <c r="K769" s="624"/>
      <c r="O769" s="616"/>
      <c r="P769" s="616"/>
      <c r="Q769" s="616"/>
      <c r="AA769" s="624"/>
      <c r="AB769" s="663">
        <v>39035185201</v>
      </c>
      <c r="AC769" s="663" t="s">
        <v>5701</v>
      </c>
      <c r="AD769" s="663" t="s">
        <v>4927</v>
      </c>
      <c r="AE769" s="663" t="s">
        <v>4934</v>
      </c>
      <c r="AF769" s="663" t="s">
        <v>4946</v>
      </c>
    </row>
    <row r="770" spans="1:32" s="608" customFormat="1" x14ac:dyDescent="0.25">
      <c r="A770" s="624"/>
      <c r="B770" s="617">
        <v>39035187104</v>
      </c>
      <c r="C770" s="617" t="s">
        <v>2438</v>
      </c>
      <c r="D770" s="617" t="s">
        <v>42</v>
      </c>
      <c r="E770" s="617" t="s">
        <v>4853</v>
      </c>
      <c r="F770" s="617" t="s">
        <v>26</v>
      </c>
      <c r="G770" s="624"/>
      <c r="H770" s="669">
        <v>44428</v>
      </c>
      <c r="I770" s="617" t="s">
        <v>4873</v>
      </c>
      <c r="J770" s="617" t="s">
        <v>26</v>
      </c>
      <c r="K770" s="624"/>
      <c r="O770" s="616"/>
      <c r="P770" s="616"/>
      <c r="Q770" s="616"/>
      <c r="AA770" s="624"/>
      <c r="AB770" s="663">
        <v>39035185202</v>
      </c>
      <c r="AC770" s="663" t="s">
        <v>5702</v>
      </c>
      <c r="AD770" s="663" t="s">
        <v>4950</v>
      </c>
      <c r="AE770" s="663" t="s">
        <v>4928</v>
      </c>
      <c r="AF770" s="663" t="s">
        <v>4946</v>
      </c>
    </row>
    <row r="771" spans="1:32" s="608" customFormat="1" x14ac:dyDescent="0.25">
      <c r="A771" s="624"/>
      <c r="B771" s="617">
        <v>39035187105</v>
      </c>
      <c r="C771" s="617" t="s">
        <v>2439</v>
      </c>
      <c r="D771" s="617" t="s">
        <v>42</v>
      </c>
      <c r="E771" s="617" t="s">
        <v>4853</v>
      </c>
      <c r="F771" s="617" t="s">
        <v>26</v>
      </c>
      <c r="G771" s="624"/>
      <c r="H771" s="669">
        <v>43416</v>
      </c>
      <c r="I771" s="617" t="s">
        <v>1676</v>
      </c>
      <c r="J771" s="617" t="s">
        <v>26</v>
      </c>
      <c r="K771" s="624"/>
      <c r="O771" s="616"/>
      <c r="P771" s="616"/>
      <c r="Q771" s="616"/>
      <c r="AA771" s="624"/>
      <c r="AB771" s="663">
        <v>39035185203</v>
      </c>
      <c r="AC771" s="663" t="s">
        <v>5703</v>
      </c>
      <c r="AD771" s="663" t="s">
        <v>4941</v>
      </c>
      <c r="AE771" s="663" t="s">
        <v>4931</v>
      </c>
      <c r="AF771" s="663" t="s">
        <v>4946</v>
      </c>
    </row>
    <row r="772" spans="1:32" s="608" customFormat="1" x14ac:dyDescent="0.25">
      <c r="A772" s="624"/>
      <c r="B772" s="617">
        <v>39035187106</v>
      </c>
      <c r="C772" s="617" t="s">
        <v>2440</v>
      </c>
      <c r="D772" s="617" t="s">
        <v>42</v>
      </c>
      <c r="E772" s="617" t="s">
        <v>4853</v>
      </c>
      <c r="F772" s="617" t="s">
        <v>26</v>
      </c>
      <c r="G772" s="624"/>
      <c r="H772" s="669">
        <v>43144</v>
      </c>
      <c r="I772" s="617" t="s">
        <v>1675</v>
      </c>
      <c r="J772" s="617" t="s">
        <v>26</v>
      </c>
      <c r="K772" s="624"/>
      <c r="O772" s="616"/>
      <c r="P772" s="616"/>
      <c r="Q772" s="616"/>
      <c r="AA772" s="624"/>
      <c r="AB772" s="663">
        <v>39035186103</v>
      </c>
      <c r="AC772" s="663" t="s">
        <v>5704</v>
      </c>
      <c r="AD772" s="663" t="s">
        <v>4938</v>
      </c>
      <c r="AE772" s="663" t="s">
        <v>4942</v>
      </c>
      <c r="AF772" s="663" t="s">
        <v>4946</v>
      </c>
    </row>
    <row r="773" spans="1:32" s="608" customFormat="1" x14ac:dyDescent="0.25">
      <c r="A773" s="624"/>
      <c r="B773" s="617">
        <v>39035188103</v>
      </c>
      <c r="C773" s="617" t="s">
        <v>2441</v>
      </c>
      <c r="D773" s="617" t="s">
        <v>42</v>
      </c>
      <c r="E773" s="617" t="s">
        <v>4853</v>
      </c>
      <c r="F773" s="617" t="s">
        <v>24</v>
      </c>
      <c r="G773" s="624"/>
      <c r="H773" s="669">
        <v>43008</v>
      </c>
      <c r="I773" s="617" t="s">
        <v>4871</v>
      </c>
      <c r="J773" s="617" t="s">
        <v>26</v>
      </c>
      <c r="K773" s="624"/>
      <c r="O773" s="616"/>
      <c r="P773" s="616"/>
      <c r="Q773" s="616"/>
      <c r="AA773" s="624"/>
      <c r="AB773" s="663">
        <v>39035186104</v>
      </c>
      <c r="AC773" s="663" t="s">
        <v>5705</v>
      </c>
      <c r="AD773" s="663" t="s">
        <v>4938</v>
      </c>
      <c r="AE773" s="663" t="s">
        <v>4939</v>
      </c>
      <c r="AF773" s="663" t="s">
        <v>4946</v>
      </c>
    </row>
    <row r="774" spans="1:32" s="608" customFormat="1" x14ac:dyDescent="0.25">
      <c r="A774" s="624"/>
      <c r="B774" s="617">
        <v>39035188106</v>
      </c>
      <c r="C774" s="617" t="s">
        <v>2442</v>
      </c>
      <c r="D774" s="617" t="s">
        <v>42</v>
      </c>
      <c r="E774" s="617" t="s">
        <v>4853</v>
      </c>
      <c r="F774" s="617" t="s">
        <v>26</v>
      </c>
      <c r="G774" s="624"/>
      <c r="H774" s="669">
        <v>43903</v>
      </c>
      <c r="I774" s="617" t="s">
        <v>4874</v>
      </c>
      <c r="J774" s="617" t="s">
        <v>26</v>
      </c>
      <c r="K774" s="624"/>
      <c r="O774" s="616"/>
      <c r="P774" s="616"/>
      <c r="Q774" s="616"/>
      <c r="AA774" s="624"/>
      <c r="AB774" s="663">
        <v>39035186105</v>
      </c>
      <c r="AC774" s="663" t="s">
        <v>5706</v>
      </c>
      <c r="AD774" s="663" t="s">
        <v>4938</v>
      </c>
      <c r="AE774" s="663" t="s">
        <v>4934</v>
      </c>
      <c r="AF774" s="663" t="s">
        <v>4946</v>
      </c>
    </row>
    <row r="775" spans="1:32" s="608" customFormat="1" x14ac:dyDescent="0.25">
      <c r="A775" s="624"/>
      <c r="B775" s="617">
        <v>39035188107</v>
      </c>
      <c r="C775" s="617" t="s">
        <v>2443</v>
      </c>
      <c r="D775" s="617" t="s">
        <v>42</v>
      </c>
      <c r="E775" s="617" t="s">
        <v>4853</v>
      </c>
      <c r="F775" s="617" t="s">
        <v>24</v>
      </c>
      <c r="G775" s="624"/>
      <c r="H775" s="669">
        <v>44108</v>
      </c>
      <c r="I775" s="617" t="s">
        <v>4869</v>
      </c>
      <c r="J775" s="617" t="s">
        <v>26</v>
      </c>
      <c r="K775" s="624"/>
      <c r="O775" s="616"/>
      <c r="P775" s="616"/>
      <c r="Q775" s="616"/>
      <c r="AA775" s="624"/>
      <c r="AB775" s="663">
        <v>39035186106</v>
      </c>
      <c r="AC775" s="663" t="s">
        <v>5707</v>
      </c>
      <c r="AD775" s="663" t="s">
        <v>4948</v>
      </c>
      <c r="AE775" s="663" t="s">
        <v>4939</v>
      </c>
      <c r="AF775" s="663" t="s">
        <v>4946</v>
      </c>
    </row>
    <row r="776" spans="1:32" s="608" customFormat="1" x14ac:dyDescent="0.25">
      <c r="A776" s="624"/>
      <c r="B776" s="617">
        <v>39035189105</v>
      </c>
      <c r="C776" s="617" t="s">
        <v>2444</v>
      </c>
      <c r="D776" s="617" t="s">
        <v>42</v>
      </c>
      <c r="E776" s="617" t="s">
        <v>4853</v>
      </c>
      <c r="F776" s="617" t="s">
        <v>26</v>
      </c>
      <c r="G776" s="624"/>
      <c r="H776" s="669">
        <v>45213</v>
      </c>
      <c r="I776" s="617" t="s">
        <v>4867</v>
      </c>
      <c r="J776" s="617" t="s">
        <v>26</v>
      </c>
      <c r="K776" s="624"/>
      <c r="O776" s="616"/>
      <c r="P776" s="616"/>
      <c r="Q776" s="616"/>
      <c r="AA776" s="624"/>
      <c r="AB776" s="663">
        <v>39035186107</v>
      </c>
      <c r="AC776" s="663" t="s">
        <v>5708</v>
      </c>
      <c r="AD776" s="663" t="s">
        <v>4938</v>
      </c>
      <c r="AE776" s="663" t="s">
        <v>4942</v>
      </c>
      <c r="AF776" s="663" t="s">
        <v>4946</v>
      </c>
    </row>
    <row r="777" spans="1:32" s="608" customFormat="1" x14ac:dyDescent="0.25">
      <c r="A777" s="624"/>
      <c r="B777" s="617">
        <v>39035189107</v>
      </c>
      <c r="C777" s="617" t="s">
        <v>2445</v>
      </c>
      <c r="D777" s="617" t="s">
        <v>42</v>
      </c>
      <c r="E777" s="617" t="s">
        <v>4853</v>
      </c>
      <c r="F777" s="617" t="s">
        <v>26</v>
      </c>
      <c r="G777" s="624"/>
      <c r="H777" s="669">
        <v>41003</v>
      </c>
      <c r="I777" s="617" t="s">
        <v>4867</v>
      </c>
      <c r="J777" s="617" t="s">
        <v>26</v>
      </c>
      <c r="K777" s="624"/>
      <c r="O777" s="616"/>
      <c r="P777" s="616"/>
      <c r="Q777" s="616"/>
      <c r="AA777" s="624"/>
      <c r="AB777" s="663">
        <v>39035186201</v>
      </c>
      <c r="AC777" s="663" t="s">
        <v>5709</v>
      </c>
      <c r="AD777" s="663" t="s">
        <v>4938</v>
      </c>
      <c r="AE777" s="663" t="s">
        <v>4928</v>
      </c>
      <c r="AF777" s="663" t="s">
        <v>4946</v>
      </c>
    </row>
    <row r="778" spans="1:32" s="608" customFormat="1" x14ac:dyDescent="0.25">
      <c r="A778" s="624"/>
      <c r="B778" s="617">
        <v>39035189108</v>
      </c>
      <c r="C778" s="617" t="s">
        <v>2446</v>
      </c>
      <c r="D778" s="617" t="s">
        <v>42</v>
      </c>
      <c r="E778" s="617" t="s">
        <v>4853</v>
      </c>
      <c r="F778" s="617" t="s">
        <v>26</v>
      </c>
      <c r="G778" s="624"/>
      <c r="H778" s="669">
        <v>43077</v>
      </c>
      <c r="I778" s="617" t="s">
        <v>1678</v>
      </c>
      <c r="J778" s="617" t="s">
        <v>26</v>
      </c>
      <c r="K778" s="624"/>
      <c r="O778" s="616"/>
      <c r="P778" s="616"/>
      <c r="Q778" s="616"/>
      <c r="AA778" s="624"/>
      <c r="AB778" s="663">
        <v>39035186202</v>
      </c>
      <c r="AC778" s="663" t="s">
        <v>5710</v>
      </c>
      <c r="AD778" s="663" t="s">
        <v>4938</v>
      </c>
      <c r="AE778" s="663" t="s">
        <v>4928</v>
      </c>
      <c r="AF778" s="663" t="s">
        <v>4946</v>
      </c>
    </row>
    <row r="779" spans="1:32" s="608" customFormat="1" x14ac:dyDescent="0.25">
      <c r="A779" s="624"/>
      <c r="B779" s="617">
        <v>39035189109</v>
      </c>
      <c r="C779" s="617" t="s">
        <v>2447</v>
      </c>
      <c r="D779" s="617" t="s">
        <v>42</v>
      </c>
      <c r="E779" s="617" t="s">
        <v>4853</v>
      </c>
      <c r="F779" s="617" t="s">
        <v>26</v>
      </c>
      <c r="G779" s="624"/>
      <c r="H779" s="669">
        <v>44903</v>
      </c>
      <c r="I779" s="617" t="s">
        <v>4871</v>
      </c>
      <c r="J779" s="617" t="s">
        <v>26</v>
      </c>
      <c r="K779" s="624"/>
      <c r="O779" s="616"/>
      <c r="P779" s="616"/>
      <c r="Q779" s="616"/>
      <c r="AA779" s="624"/>
      <c r="AB779" s="663">
        <v>39035186203</v>
      </c>
      <c r="AC779" s="663" t="s">
        <v>5711</v>
      </c>
      <c r="AD779" s="663" t="s">
        <v>4941</v>
      </c>
      <c r="AE779" s="663" t="s">
        <v>4928</v>
      </c>
      <c r="AF779" s="663" t="s">
        <v>4946</v>
      </c>
    </row>
    <row r="780" spans="1:32" s="608" customFormat="1" x14ac:dyDescent="0.25">
      <c r="A780" s="624"/>
      <c r="B780" s="617">
        <v>39035189110</v>
      </c>
      <c r="C780" s="617" t="s">
        <v>2448</v>
      </c>
      <c r="D780" s="617" t="s">
        <v>42</v>
      </c>
      <c r="E780" s="617" t="s">
        <v>4853</v>
      </c>
      <c r="F780" s="617" t="s">
        <v>26</v>
      </c>
      <c r="G780" s="624"/>
      <c r="H780" s="669">
        <v>44103</v>
      </c>
      <c r="I780" s="617" t="s">
        <v>4869</v>
      </c>
      <c r="J780" s="617" t="s">
        <v>26</v>
      </c>
      <c r="K780" s="624"/>
      <c r="O780" s="616"/>
      <c r="P780" s="616"/>
      <c r="Q780" s="616"/>
      <c r="AA780" s="624"/>
      <c r="AB780" s="663">
        <v>39035186205</v>
      </c>
      <c r="AC780" s="663" t="s">
        <v>5712</v>
      </c>
      <c r="AD780" s="663" t="s">
        <v>4938</v>
      </c>
      <c r="AE780" s="663" t="s">
        <v>4931</v>
      </c>
      <c r="AF780" s="663" t="s">
        <v>4946</v>
      </c>
    </row>
    <row r="781" spans="1:32" s="608" customFormat="1" x14ac:dyDescent="0.25">
      <c r="A781" s="624"/>
      <c r="B781" s="617">
        <v>39035189111</v>
      </c>
      <c r="C781" s="617" t="s">
        <v>2449</v>
      </c>
      <c r="D781" s="617" t="s">
        <v>42</v>
      </c>
      <c r="E781" s="617" t="s">
        <v>4853</v>
      </c>
      <c r="F781" s="617" t="s">
        <v>26</v>
      </c>
      <c r="G781" s="624"/>
      <c r="H781" s="669">
        <v>45229</v>
      </c>
      <c r="I781" s="617" t="s">
        <v>4867</v>
      </c>
      <c r="J781" s="617" t="s">
        <v>26</v>
      </c>
      <c r="K781" s="624"/>
      <c r="O781" s="616"/>
      <c r="P781" s="616"/>
      <c r="Q781" s="616"/>
      <c r="AA781" s="624"/>
      <c r="AB781" s="663">
        <v>39035186206</v>
      </c>
      <c r="AC781" s="663" t="s">
        <v>5713</v>
      </c>
      <c r="AD781" s="663" t="s">
        <v>4938</v>
      </c>
      <c r="AE781" s="663" t="s">
        <v>4942</v>
      </c>
      <c r="AF781" s="663" t="s">
        <v>4946</v>
      </c>
    </row>
    <row r="782" spans="1:32" s="608" customFormat="1" x14ac:dyDescent="0.25">
      <c r="A782" s="624"/>
      <c r="B782" s="617">
        <v>39035189112</v>
      </c>
      <c r="C782" s="617" t="s">
        <v>2450</v>
      </c>
      <c r="D782" s="617" t="s">
        <v>42</v>
      </c>
      <c r="E782" s="617" t="s">
        <v>4853</v>
      </c>
      <c r="F782" s="617" t="s">
        <v>26</v>
      </c>
      <c r="G782" s="624"/>
      <c r="H782" s="669">
        <v>41046</v>
      </c>
      <c r="I782" s="617" t="s">
        <v>4867</v>
      </c>
      <c r="J782" s="617" t="s">
        <v>26</v>
      </c>
      <c r="K782" s="624"/>
      <c r="O782" s="616"/>
      <c r="P782" s="616"/>
      <c r="Q782" s="616"/>
      <c r="AA782" s="624"/>
      <c r="AB782" s="663">
        <v>39035187103</v>
      </c>
      <c r="AC782" s="663" t="s">
        <v>5714</v>
      </c>
      <c r="AD782" s="663" t="s">
        <v>4948</v>
      </c>
      <c r="AE782" s="663" t="s">
        <v>5006</v>
      </c>
      <c r="AF782" s="663" t="s">
        <v>4946</v>
      </c>
    </row>
    <row r="783" spans="1:32" s="608" customFormat="1" x14ac:dyDescent="0.25">
      <c r="A783" s="624"/>
      <c r="B783" s="617">
        <v>39035190502</v>
      </c>
      <c r="C783" s="617" t="s">
        <v>2451</v>
      </c>
      <c r="D783" s="617" t="s">
        <v>42</v>
      </c>
      <c r="E783" s="617" t="s">
        <v>4853</v>
      </c>
      <c r="F783" s="617" t="s">
        <v>26</v>
      </c>
      <c r="G783" s="624"/>
      <c r="H783" s="669">
        <v>43011</v>
      </c>
      <c r="I783" s="617" t="s">
        <v>4871</v>
      </c>
      <c r="J783" s="617" t="s">
        <v>26</v>
      </c>
      <c r="K783" s="624"/>
      <c r="O783" s="616"/>
      <c r="P783" s="616"/>
      <c r="Q783" s="616"/>
      <c r="AA783" s="624"/>
      <c r="AB783" s="663">
        <v>39035187104</v>
      </c>
      <c r="AC783" s="663" t="s">
        <v>5715</v>
      </c>
      <c r="AD783" s="663" t="s">
        <v>4941</v>
      </c>
      <c r="AE783" s="663" t="s">
        <v>4942</v>
      </c>
      <c r="AF783" s="663" t="s">
        <v>4946</v>
      </c>
    </row>
    <row r="784" spans="1:32" s="608" customFormat="1" x14ac:dyDescent="0.25">
      <c r="A784" s="624"/>
      <c r="B784" s="617">
        <v>39035190503</v>
      </c>
      <c r="C784" s="617" t="s">
        <v>2452</v>
      </c>
      <c r="D784" s="617" t="s">
        <v>42</v>
      </c>
      <c r="E784" s="617" t="s">
        <v>4853</v>
      </c>
      <c r="F784" s="617" t="s">
        <v>26</v>
      </c>
      <c r="G784" s="624"/>
      <c r="H784" s="669">
        <v>44904</v>
      </c>
      <c r="I784" s="617" t="s">
        <v>4871</v>
      </c>
      <c r="J784" s="617" t="s">
        <v>26</v>
      </c>
      <c r="K784" s="624"/>
      <c r="O784" s="616"/>
      <c r="P784" s="616"/>
      <c r="Q784" s="616"/>
      <c r="AA784" s="624"/>
      <c r="AB784" s="663">
        <v>39035187105</v>
      </c>
      <c r="AC784" s="663" t="s">
        <v>5716</v>
      </c>
      <c r="AD784" s="663" t="s">
        <v>4941</v>
      </c>
      <c r="AE784" s="663" t="s">
        <v>4934</v>
      </c>
      <c r="AF784" s="663" t="s">
        <v>4946</v>
      </c>
    </row>
    <row r="785" spans="1:32" s="608" customFormat="1" x14ac:dyDescent="0.25">
      <c r="A785" s="624"/>
      <c r="B785" s="617">
        <v>39035190505</v>
      </c>
      <c r="C785" s="617" t="s">
        <v>2453</v>
      </c>
      <c r="D785" s="617" t="s">
        <v>42</v>
      </c>
      <c r="E785" s="617" t="s">
        <v>4853</v>
      </c>
      <c r="F785" s="617" t="s">
        <v>26</v>
      </c>
      <c r="G785" s="624"/>
      <c r="H785" s="669">
        <v>44442</v>
      </c>
      <c r="I785" s="617" t="s">
        <v>4873</v>
      </c>
      <c r="J785" s="617" t="s">
        <v>26</v>
      </c>
      <c r="K785" s="624"/>
      <c r="O785" s="616"/>
      <c r="P785" s="616"/>
      <c r="Q785" s="616"/>
      <c r="AA785" s="624"/>
      <c r="AB785" s="663">
        <v>39035187106</v>
      </c>
      <c r="AC785" s="663" t="s">
        <v>5717</v>
      </c>
      <c r="AD785" s="663" t="s">
        <v>4938</v>
      </c>
      <c r="AE785" s="663" t="s">
        <v>4928</v>
      </c>
      <c r="AF785" s="663" t="s">
        <v>4946</v>
      </c>
    </row>
    <row r="786" spans="1:32" s="608" customFormat="1" x14ac:dyDescent="0.25">
      <c r="A786" s="624"/>
      <c r="B786" s="617">
        <v>39035190506</v>
      </c>
      <c r="C786" s="617" t="s">
        <v>2454</v>
      </c>
      <c r="D786" s="617" t="s">
        <v>42</v>
      </c>
      <c r="E786" s="617" t="s">
        <v>4853</v>
      </c>
      <c r="F786" s="617" t="s">
        <v>26</v>
      </c>
      <c r="G786" s="624"/>
      <c r="H786" s="669">
        <v>44254</v>
      </c>
      <c r="I786" s="617" t="s">
        <v>4869</v>
      </c>
      <c r="J786" s="617" t="s">
        <v>26</v>
      </c>
      <c r="K786" s="624"/>
      <c r="O786" s="616"/>
      <c r="P786" s="616"/>
      <c r="Q786" s="616"/>
      <c r="AA786" s="624"/>
      <c r="AB786" s="663">
        <v>39035188103</v>
      </c>
      <c r="AC786" s="663" t="s">
        <v>5718</v>
      </c>
      <c r="AD786" s="663" t="s">
        <v>4927</v>
      </c>
      <c r="AE786" s="663" t="s">
        <v>4942</v>
      </c>
      <c r="AF786" s="663" t="s">
        <v>4946</v>
      </c>
    </row>
    <row r="787" spans="1:32" s="608" customFormat="1" x14ac:dyDescent="0.25">
      <c r="A787" s="624"/>
      <c r="B787" s="617">
        <v>39035192300</v>
      </c>
      <c r="C787" s="617" t="s">
        <v>2455</v>
      </c>
      <c r="D787" s="617" t="s">
        <v>42</v>
      </c>
      <c r="E787" s="617" t="s">
        <v>4853</v>
      </c>
      <c r="F787" s="617" t="s">
        <v>26</v>
      </c>
      <c r="G787" s="624"/>
      <c r="H787" s="669">
        <v>45052</v>
      </c>
      <c r="I787" s="617" t="s">
        <v>4867</v>
      </c>
      <c r="J787" s="617" t="s">
        <v>26</v>
      </c>
      <c r="K787" s="624"/>
      <c r="O787" s="616"/>
      <c r="P787" s="616"/>
      <c r="Q787" s="616"/>
      <c r="AA787" s="624"/>
      <c r="AB787" s="663">
        <v>39035188104</v>
      </c>
      <c r="AC787" s="663" t="s">
        <v>5719</v>
      </c>
      <c r="AD787" s="663" t="s">
        <v>4927</v>
      </c>
      <c r="AE787" s="663" t="s">
        <v>4942</v>
      </c>
      <c r="AF787" s="663" t="s">
        <v>4946</v>
      </c>
    </row>
    <row r="788" spans="1:32" s="608" customFormat="1" x14ac:dyDescent="0.25">
      <c r="A788" s="624"/>
      <c r="B788" s="617">
        <v>39035192800</v>
      </c>
      <c r="C788" s="617" t="s">
        <v>2456</v>
      </c>
      <c r="D788" s="617" t="s">
        <v>42</v>
      </c>
      <c r="E788" s="617" t="s">
        <v>4853</v>
      </c>
      <c r="F788" s="617" t="s">
        <v>26</v>
      </c>
      <c r="G788" s="624"/>
      <c r="H788" s="669">
        <v>44104</v>
      </c>
      <c r="I788" s="617" t="s">
        <v>4869</v>
      </c>
      <c r="J788" s="617" t="s">
        <v>26</v>
      </c>
      <c r="K788" s="624"/>
      <c r="O788" s="616"/>
      <c r="P788" s="616"/>
      <c r="Q788" s="616"/>
      <c r="AA788" s="624"/>
      <c r="AB788" s="663">
        <v>39035188105</v>
      </c>
      <c r="AC788" s="663" t="s">
        <v>5720</v>
      </c>
      <c r="AD788" s="663" t="s">
        <v>4927</v>
      </c>
      <c r="AE788" s="663" t="s">
        <v>4928</v>
      </c>
      <c r="AF788" s="663" t="s">
        <v>4946</v>
      </c>
    </row>
    <row r="789" spans="1:32" s="608" customFormat="1" x14ac:dyDescent="0.25">
      <c r="A789" s="624"/>
      <c r="B789" s="617">
        <v>39035192900</v>
      </c>
      <c r="C789" s="617" t="s">
        <v>2457</v>
      </c>
      <c r="D789" s="617" t="s">
        <v>42</v>
      </c>
      <c r="E789" s="617" t="s">
        <v>4853</v>
      </c>
      <c r="F789" s="617" t="s">
        <v>26</v>
      </c>
      <c r="G789" s="624"/>
      <c r="H789" s="669">
        <v>44214</v>
      </c>
      <c r="I789" s="617" t="s">
        <v>4869</v>
      </c>
      <c r="J789" s="617" t="s">
        <v>26</v>
      </c>
      <c r="K789" s="624"/>
      <c r="O789" s="616"/>
      <c r="P789" s="616"/>
      <c r="Q789" s="616"/>
      <c r="AA789" s="624"/>
      <c r="AB789" s="663">
        <v>39035188106</v>
      </c>
      <c r="AC789" s="663" t="s">
        <v>5721</v>
      </c>
      <c r="AD789" s="663" t="s">
        <v>4927</v>
      </c>
      <c r="AE789" s="663" t="s">
        <v>4934</v>
      </c>
      <c r="AF789" s="663" t="s">
        <v>4946</v>
      </c>
    </row>
    <row r="790" spans="1:32" s="608" customFormat="1" x14ac:dyDescent="0.25">
      <c r="A790" s="624"/>
      <c r="B790" s="617">
        <v>39035194100</v>
      </c>
      <c r="C790" s="617" t="s">
        <v>2458</v>
      </c>
      <c r="D790" s="617" t="s">
        <v>42</v>
      </c>
      <c r="E790" s="617" t="s">
        <v>4853</v>
      </c>
      <c r="F790" s="617" t="s">
        <v>26</v>
      </c>
      <c r="G790" s="624"/>
      <c r="H790" s="669">
        <v>41043</v>
      </c>
      <c r="I790" s="617" t="s">
        <v>4867</v>
      </c>
      <c r="J790" s="617" t="s">
        <v>26</v>
      </c>
      <c r="K790" s="624"/>
      <c r="O790" s="616"/>
      <c r="P790" s="616"/>
      <c r="Q790" s="616"/>
      <c r="AA790" s="624"/>
      <c r="AB790" s="663">
        <v>39035188107</v>
      </c>
      <c r="AC790" s="663" t="s">
        <v>5722</v>
      </c>
      <c r="AD790" s="663" t="s">
        <v>4927</v>
      </c>
      <c r="AE790" s="663" t="s">
        <v>4928</v>
      </c>
      <c r="AF790" s="663" t="s">
        <v>4946</v>
      </c>
    </row>
    <row r="791" spans="1:32" s="608" customFormat="1" x14ac:dyDescent="0.25">
      <c r="A791" s="624"/>
      <c r="B791" s="617">
        <v>39035194300</v>
      </c>
      <c r="C791" s="617" t="s">
        <v>2459</v>
      </c>
      <c r="D791" s="617" t="s">
        <v>42</v>
      </c>
      <c r="E791" s="617" t="s">
        <v>4853</v>
      </c>
      <c r="F791" s="617" t="s">
        <v>26</v>
      </c>
      <c r="G791" s="624"/>
      <c r="H791" s="669">
        <v>43025</v>
      </c>
      <c r="I791" s="617" t="s">
        <v>4871</v>
      </c>
      <c r="J791" s="617" t="s">
        <v>26</v>
      </c>
      <c r="K791" s="624"/>
      <c r="O791" s="616"/>
      <c r="P791" s="616"/>
      <c r="Q791" s="616"/>
      <c r="AA791" s="624"/>
      <c r="AB791" s="663">
        <v>39035189105</v>
      </c>
      <c r="AC791" s="663" t="s">
        <v>5723</v>
      </c>
      <c r="AD791" s="663" t="s">
        <v>4938</v>
      </c>
      <c r="AE791" s="663" t="s">
        <v>4942</v>
      </c>
      <c r="AF791" s="663" t="s">
        <v>4946</v>
      </c>
    </row>
    <row r="792" spans="1:32" s="608" customFormat="1" x14ac:dyDescent="0.25">
      <c r="A792" s="624"/>
      <c r="B792" s="617">
        <v>39035194500</v>
      </c>
      <c r="C792" s="617" t="s">
        <v>2460</v>
      </c>
      <c r="D792" s="617" t="s">
        <v>42</v>
      </c>
      <c r="E792" s="617" t="s">
        <v>4853</v>
      </c>
      <c r="F792" s="617" t="s">
        <v>26</v>
      </c>
      <c r="G792" s="624"/>
      <c r="H792" s="669">
        <v>43830</v>
      </c>
      <c r="I792" s="617" t="s">
        <v>4871</v>
      </c>
      <c r="J792" s="617" t="s">
        <v>26</v>
      </c>
      <c r="K792" s="624"/>
      <c r="O792" s="616"/>
      <c r="P792" s="616"/>
      <c r="Q792" s="616"/>
      <c r="AA792" s="624"/>
      <c r="AB792" s="663">
        <v>39035189107</v>
      </c>
      <c r="AC792" s="663" t="s">
        <v>5724</v>
      </c>
      <c r="AD792" s="663" t="s">
        <v>4938</v>
      </c>
      <c r="AE792" s="663" t="s">
        <v>4928</v>
      </c>
      <c r="AF792" s="663" t="s">
        <v>4946</v>
      </c>
    </row>
    <row r="793" spans="1:32" s="608" customFormat="1" x14ac:dyDescent="0.25">
      <c r="A793" s="624"/>
      <c r="B793" s="617">
        <v>39035195600</v>
      </c>
      <c r="C793" s="617" t="s">
        <v>2461</v>
      </c>
      <c r="D793" s="617" t="s">
        <v>42</v>
      </c>
      <c r="E793" s="617" t="s">
        <v>4853</v>
      </c>
      <c r="F793" s="617" t="s">
        <v>26</v>
      </c>
      <c r="G793" s="624"/>
      <c r="H793" s="669">
        <v>43458</v>
      </c>
      <c r="I793" s="617" t="s">
        <v>1676</v>
      </c>
      <c r="J793" s="617" t="s">
        <v>26</v>
      </c>
      <c r="K793" s="624"/>
      <c r="O793" s="616"/>
      <c r="P793" s="616"/>
      <c r="Q793" s="616"/>
      <c r="AA793" s="624"/>
      <c r="AB793" s="663">
        <v>39035189108</v>
      </c>
      <c r="AC793" s="663" t="s">
        <v>5725</v>
      </c>
      <c r="AD793" s="663" t="s">
        <v>4938</v>
      </c>
      <c r="AE793" s="663" t="s">
        <v>4934</v>
      </c>
      <c r="AF793" s="663" t="s">
        <v>4946</v>
      </c>
    </row>
    <row r="794" spans="1:32" s="608" customFormat="1" x14ac:dyDescent="0.25">
      <c r="A794" s="624"/>
      <c r="B794" s="617">
        <v>39035195700</v>
      </c>
      <c r="C794" s="617" t="s">
        <v>2462</v>
      </c>
      <c r="D794" s="617" t="s">
        <v>42</v>
      </c>
      <c r="E794" s="617" t="s">
        <v>4853</v>
      </c>
      <c r="F794" s="617" t="s">
        <v>26</v>
      </c>
      <c r="G794" s="624"/>
      <c r="H794" s="669">
        <v>43029</v>
      </c>
      <c r="I794" s="617" t="s">
        <v>1678</v>
      </c>
      <c r="J794" s="617" t="s">
        <v>26</v>
      </c>
      <c r="K794" s="624"/>
      <c r="O794" s="616"/>
      <c r="P794" s="616"/>
      <c r="Q794" s="616"/>
      <c r="AA794" s="624"/>
      <c r="AB794" s="663">
        <v>39035189109</v>
      </c>
      <c r="AC794" s="663" t="s">
        <v>5726</v>
      </c>
      <c r="AD794" s="663" t="s">
        <v>4941</v>
      </c>
      <c r="AE794" s="663" t="s">
        <v>4942</v>
      </c>
      <c r="AF794" s="663" t="s">
        <v>4946</v>
      </c>
    </row>
    <row r="795" spans="1:32" s="608" customFormat="1" x14ac:dyDescent="0.25">
      <c r="A795" s="624"/>
      <c r="B795" s="617">
        <v>39035195800</v>
      </c>
      <c r="C795" s="617" t="s">
        <v>2463</v>
      </c>
      <c r="D795" s="617" t="s">
        <v>42</v>
      </c>
      <c r="E795" s="617" t="s">
        <v>4853</v>
      </c>
      <c r="F795" s="617" t="s">
        <v>26</v>
      </c>
      <c r="G795" s="624"/>
      <c r="H795" s="669">
        <v>44864</v>
      </c>
      <c r="I795" s="617" t="s">
        <v>4877</v>
      </c>
      <c r="J795" s="617" t="s">
        <v>26</v>
      </c>
      <c r="K795" s="624"/>
      <c r="O795" s="616"/>
      <c r="P795" s="616"/>
      <c r="Q795" s="616"/>
      <c r="AA795" s="624"/>
      <c r="AB795" s="663">
        <v>39035189110</v>
      </c>
      <c r="AC795" s="663" t="s">
        <v>5727</v>
      </c>
      <c r="AD795" s="663" t="s">
        <v>4938</v>
      </c>
      <c r="AE795" s="663" t="s">
        <v>4928</v>
      </c>
      <c r="AF795" s="663" t="s">
        <v>4946</v>
      </c>
    </row>
    <row r="796" spans="1:32" s="608" customFormat="1" x14ac:dyDescent="0.25">
      <c r="A796" s="624"/>
      <c r="B796" s="617">
        <v>39035195900</v>
      </c>
      <c r="C796" s="617" t="s">
        <v>2464</v>
      </c>
      <c r="D796" s="617" t="s">
        <v>42</v>
      </c>
      <c r="E796" s="617" t="s">
        <v>4853</v>
      </c>
      <c r="F796" s="617" t="s">
        <v>26</v>
      </c>
      <c r="G796" s="624"/>
      <c r="H796" s="669">
        <v>44833</v>
      </c>
      <c r="I796" s="617" t="s">
        <v>4871</v>
      </c>
      <c r="J796" s="617" t="s">
        <v>26</v>
      </c>
      <c r="K796" s="624"/>
      <c r="O796" s="616"/>
      <c r="P796" s="616"/>
      <c r="Q796" s="616"/>
      <c r="AA796" s="624"/>
      <c r="AB796" s="663">
        <v>39035189111</v>
      </c>
      <c r="AC796" s="663" t="s">
        <v>5728</v>
      </c>
      <c r="AD796" s="663" t="s">
        <v>4938</v>
      </c>
      <c r="AE796" s="663" t="s">
        <v>4942</v>
      </c>
      <c r="AF796" s="663" t="s">
        <v>4946</v>
      </c>
    </row>
    <row r="797" spans="1:32" s="608" customFormat="1" x14ac:dyDescent="0.25">
      <c r="A797" s="624"/>
      <c r="B797" s="617">
        <v>39035196000</v>
      </c>
      <c r="C797" s="617" t="s">
        <v>2465</v>
      </c>
      <c r="D797" s="617" t="s">
        <v>42</v>
      </c>
      <c r="E797" s="617" t="s">
        <v>4853</v>
      </c>
      <c r="F797" s="617" t="s">
        <v>26</v>
      </c>
      <c r="G797" s="624"/>
      <c r="H797" s="669">
        <v>45203</v>
      </c>
      <c r="I797" s="617" t="s">
        <v>4867</v>
      </c>
      <c r="J797" s="617" t="s">
        <v>26</v>
      </c>
      <c r="K797" s="624"/>
      <c r="O797" s="616"/>
      <c r="P797" s="616"/>
      <c r="Q797" s="616"/>
      <c r="AA797" s="624"/>
      <c r="AB797" s="663">
        <v>39035189112</v>
      </c>
      <c r="AC797" s="663" t="s">
        <v>5729</v>
      </c>
      <c r="AD797" s="663" t="s">
        <v>4938</v>
      </c>
      <c r="AE797" s="663" t="s">
        <v>4931</v>
      </c>
      <c r="AF797" s="663" t="s">
        <v>4946</v>
      </c>
    </row>
    <row r="798" spans="1:32" s="608" customFormat="1" x14ac:dyDescent="0.25">
      <c r="A798" s="624"/>
      <c r="B798" s="617">
        <v>39035196100</v>
      </c>
      <c r="C798" s="617" t="s">
        <v>2466</v>
      </c>
      <c r="D798" s="617" t="s">
        <v>42</v>
      </c>
      <c r="E798" s="617" t="s">
        <v>4853</v>
      </c>
      <c r="F798" s="617" t="s">
        <v>26</v>
      </c>
      <c r="G798" s="624"/>
      <c r="H798" s="669">
        <v>45359</v>
      </c>
      <c r="I798" s="617" t="s">
        <v>4870</v>
      </c>
      <c r="J798" s="617" t="s">
        <v>26</v>
      </c>
      <c r="K798" s="624"/>
      <c r="O798" s="616"/>
      <c r="P798" s="616"/>
      <c r="Q798" s="616"/>
      <c r="AA798" s="624"/>
      <c r="AB798" s="663">
        <v>39035190502</v>
      </c>
      <c r="AC798" s="663" t="s">
        <v>5730</v>
      </c>
      <c r="AD798" s="663" t="s">
        <v>4948</v>
      </c>
      <c r="AE798" s="663" t="s">
        <v>4928</v>
      </c>
      <c r="AF798" s="663" t="s">
        <v>4946</v>
      </c>
    </row>
    <row r="799" spans="1:32" s="608" customFormat="1" x14ac:dyDescent="0.25">
      <c r="A799" s="624"/>
      <c r="B799" s="617">
        <v>39035196200</v>
      </c>
      <c r="C799" s="617" t="s">
        <v>2467</v>
      </c>
      <c r="D799" s="617" t="s">
        <v>42</v>
      </c>
      <c r="E799" s="617" t="s">
        <v>4853</v>
      </c>
      <c r="F799" s="617" t="s">
        <v>24</v>
      </c>
      <c r="G799" s="624"/>
      <c r="H799" s="669">
        <v>44695</v>
      </c>
      <c r="I799" s="617" t="s">
        <v>4874</v>
      </c>
      <c r="J799" s="617" t="s">
        <v>26</v>
      </c>
      <c r="K799" s="624"/>
      <c r="O799" s="616"/>
      <c r="P799" s="616"/>
      <c r="Q799" s="616"/>
      <c r="AA799" s="624"/>
      <c r="AB799" s="663">
        <v>39035190503</v>
      </c>
      <c r="AC799" s="663" t="s">
        <v>5731</v>
      </c>
      <c r="AD799" s="663" t="s">
        <v>4941</v>
      </c>
      <c r="AE799" s="663" t="s">
        <v>4934</v>
      </c>
      <c r="AF799" s="663" t="s">
        <v>4946</v>
      </c>
    </row>
    <row r="800" spans="1:32" s="608" customFormat="1" x14ac:dyDescent="0.25">
      <c r="A800" s="624"/>
      <c r="B800" s="617">
        <v>39035196300</v>
      </c>
      <c r="C800" s="617" t="s">
        <v>2468</v>
      </c>
      <c r="D800" s="617" t="s">
        <v>42</v>
      </c>
      <c r="E800" s="617" t="s">
        <v>4853</v>
      </c>
      <c r="F800" s="617" t="s">
        <v>26</v>
      </c>
      <c r="G800" s="624"/>
      <c r="H800" s="669">
        <v>41004</v>
      </c>
      <c r="I800" s="617" t="s">
        <v>4867</v>
      </c>
      <c r="J800" s="617" t="s">
        <v>26</v>
      </c>
      <c r="K800" s="624"/>
      <c r="O800" s="616"/>
      <c r="P800" s="616"/>
      <c r="Q800" s="616"/>
      <c r="AA800" s="624"/>
      <c r="AB800" s="663">
        <v>39035190504</v>
      </c>
      <c r="AC800" s="663" t="s">
        <v>5732</v>
      </c>
      <c r="AD800" s="663" t="s">
        <v>4941</v>
      </c>
      <c r="AE800" s="663" t="s">
        <v>4931</v>
      </c>
      <c r="AF800" s="663" t="s">
        <v>4946</v>
      </c>
    </row>
    <row r="801" spans="1:32" s="608" customFormat="1" x14ac:dyDescent="0.25">
      <c r="A801" s="624"/>
      <c r="B801" s="617">
        <v>39035196400</v>
      </c>
      <c r="C801" s="617" t="s">
        <v>2469</v>
      </c>
      <c r="D801" s="617" t="s">
        <v>42</v>
      </c>
      <c r="E801" s="617" t="s">
        <v>4853</v>
      </c>
      <c r="F801" s="617" t="s">
        <v>24</v>
      </c>
      <c r="G801" s="624"/>
      <c r="H801" s="669">
        <v>43340</v>
      </c>
      <c r="I801" s="617" t="s">
        <v>1678</v>
      </c>
      <c r="J801" s="617" t="s">
        <v>26</v>
      </c>
      <c r="K801" s="624"/>
      <c r="O801" s="616"/>
      <c r="P801" s="616"/>
      <c r="Q801" s="616"/>
      <c r="AA801" s="624"/>
      <c r="AB801" s="663">
        <v>39035192300</v>
      </c>
      <c r="AC801" s="663" t="s">
        <v>5733</v>
      </c>
      <c r="AD801" s="663" t="s">
        <v>4938</v>
      </c>
      <c r="AE801" s="663" t="s">
        <v>4931</v>
      </c>
      <c r="AF801" s="663" t="s">
        <v>4946</v>
      </c>
    </row>
    <row r="802" spans="1:32" s="608" customFormat="1" x14ac:dyDescent="0.25">
      <c r="A802" s="624"/>
      <c r="B802" s="617">
        <v>39035196800</v>
      </c>
      <c r="C802" s="617" t="s">
        <v>2470</v>
      </c>
      <c r="D802" s="617" t="s">
        <v>42</v>
      </c>
      <c r="E802" s="617" t="s">
        <v>4853</v>
      </c>
      <c r="F802" s="617" t="s">
        <v>24</v>
      </c>
      <c r="G802" s="624"/>
      <c r="H802" s="669">
        <v>43210</v>
      </c>
      <c r="I802" s="617" t="s">
        <v>4871</v>
      </c>
      <c r="J802" s="617" t="s">
        <v>26</v>
      </c>
      <c r="K802" s="624"/>
      <c r="O802" s="616"/>
      <c r="P802" s="616"/>
      <c r="Q802" s="616"/>
      <c r="AA802" s="624"/>
      <c r="AB802" s="663">
        <v>39035192800</v>
      </c>
      <c r="AC802" s="663" t="s">
        <v>5734</v>
      </c>
      <c r="AD802" s="663" t="s">
        <v>4938</v>
      </c>
      <c r="AE802" s="663" t="s">
        <v>4934</v>
      </c>
      <c r="AF802" s="663" t="s">
        <v>4946</v>
      </c>
    </row>
    <row r="803" spans="1:32" s="608" customFormat="1" x14ac:dyDescent="0.25">
      <c r="A803" s="624"/>
      <c r="B803" s="617">
        <v>39035197000</v>
      </c>
      <c r="C803" s="617" t="s">
        <v>2471</v>
      </c>
      <c r="D803" s="617" t="s">
        <v>42</v>
      </c>
      <c r="E803" s="617" t="s">
        <v>4853</v>
      </c>
      <c r="F803" s="617" t="s">
        <v>26</v>
      </c>
      <c r="G803" s="624"/>
      <c r="H803" s="669">
        <v>43338</v>
      </c>
      <c r="I803" s="617" t="s">
        <v>4871</v>
      </c>
      <c r="J803" s="617" t="s">
        <v>26</v>
      </c>
      <c r="K803" s="624"/>
      <c r="O803" s="616"/>
      <c r="P803" s="616"/>
      <c r="Q803" s="616"/>
      <c r="AA803" s="624"/>
      <c r="AB803" s="663">
        <v>39035192900</v>
      </c>
      <c r="AC803" s="663" t="s">
        <v>5735</v>
      </c>
      <c r="AD803" s="663" t="s">
        <v>4938</v>
      </c>
      <c r="AE803" s="663" t="s">
        <v>4931</v>
      </c>
      <c r="AF803" s="663" t="s">
        <v>4946</v>
      </c>
    </row>
    <row r="804" spans="1:32" s="608" customFormat="1" x14ac:dyDescent="0.25">
      <c r="A804" s="624"/>
      <c r="B804" s="617">
        <v>39035197100</v>
      </c>
      <c r="C804" s="617" t="s">
        <v>2472</v>
      </c>
      <c r="D804" s="617" t="s">
        <v>42</v>
      </c>
      <c r="E804" s="617" t="s">
        <v>4853</v>
      </c>
      <c r="F804" s="617" t="s">
        <v>26</v>
      </c>
      <c r="G804" s="624"/>
      <c r="H804" s="669">
        <v>45232</v>
      </c>
      <c r="I804" s="617" t="s">
        <v>4867</v>
      </c>
      <c r="J804" s="617" t="s">
        <v>26</v>
      </c>
      <c r="K804" s="624"/>
      <c r="O804" s="616"/>
      <c r="P804" s="616"/>
      <c r="Q804" s="616"/>
      <c r="AA804" s="624"/>
      <c r="AB804" s="663">
        <v>39035193800</v>
      </c>
      <c r="AC804" s="663" t="s">
        <v>5736</v>
      </c>
      <c r="AD804" s="663" t="s">
        <v>4927</v>
      </c>
      <c r="AE804" s="663" t="s">
        <v>4942</v>
      </c>
      <c r="AF804" s="663" t="s">
        <v>4946</v>
      </c>
    </row>
    <row r="805" spans="1:32" s="608" customFormat="1" x14ac:dyDescent="0.25">
      <c r="A805" s="624"/>
      <c r="B805" s="617">
        <v>39035197200</v>
      </c>
      <c r="C805" s="617" t="s">
        <v>2473</v>
      </c>
      <c r="D805" s="617" t="s">
        <v>42</v>
      </c>
      <c r="E805" s="617" t="s">
        <v>4853</v>
      </c>
      <c r="F805" s="617" t="s">
        <v>24</v>
      </c>
      <c r="G805" s="624"/>
      <c r="H805" s="669">
        <v>45225</v>
      </c>
      <c r="I805" s="617" t="s">
        <v>4867</v>
      </c>
      <c r="J805" s="617" t="s">
        <v>26</v>
      </c>
      <c r="K805" s="624"/>
      <c r="O805" s="616"/>
      <c r="P805" s="616"/>
      <c r="Q805" s="616"/>
      <c r="AA805" s="624"/>
      <c r="AB805" s="663">
        <v>39035193900</v>
      </c>
      <c r="AC805" s="663" t="s">
        <v>5737</v>
      </c>
      <c r="AD805" s="663" t="s">
        <v>4927</v>
      </c>
      <c r="AE805" s="663" t="s">
        <v>4939</v>
      </c>
      <c r="AF805" s="663" t="s">
        <v>4946</v>
      </c>
    </row>
    <row r="806" spans="1:32" s="608" customFormat="1" x14ac:dyDescent="0.25">
      <c r="A806" s="624"/>
      <c r="B806" s="617">
        <v>39035197300</v>
      </c>
      <c r="C806" s="617" t="s">
        <v>2474</v>
      </c>
      <c r="D806" s="617" t="s">
        <v>42</v>
      </c>
      <c r="E806" s="617" t="s">
        <v>4853</v>
      </c>
      <c r="F806" s="617" t="s">
        <v>24</v>
      </c>
      <c r="G806" s="624"/>
      <c r="H806" s="669">
        <v>41002</v>
      </c>
      <c r="I806" s="617" t="s">
        <v>4867</v>
      </c>
      <c r="J806" s="617" t="s">
        <v>26</v>
      </c>
      <c r="K806" s="624"/>
      <c r="O806" s="616"/>
      <c r="P806" s="616"/>
      <c r="Q806" s="616"/>
      <c r="AA806" s="624"/>
      <c r="AB806" s="663">
        <v>39035194100</v>
      </c>
      <c r="AC806" s="663" t="s">
        <v>5738</v>
      </c>
      <c r="AD806" s="663" t="s">
        <v>4941</v>
      </c>
      <c r="AE806" s="663" t="s">
        <v>4942</v>
      </c>
      <c r="AF806" s="663" t="s">
        <v>4946</v>
      </c>
    </row>
    <row r="807" spans="1:32" s="608" customFormat="1" x14ac:dyDescent="0.25">
      <c r="A807" s="624"/>
      <c r="B807" s="617">
        <v>39035197400</v>
      </c>
      <c r="C807" s="617" t="s">
        <v>2475</v>
      </c>
      <c r="D807" s="617" t="s">
        <v>42</v>
      </c>
      <c r="E807" s="617" t="s">
        <v>4853</v>
      </c>
      <c r="F807" s="617" t="s">
        <v>24</v>
      </c>
      <c r="G807" s="624"/>
      <c r="H807" s="669">
        <v>43036</v>
      </c>
      <c r="I807" s="617" t="s">
        <v>1678</v>
      </c>
      <c r="J807" s="617" t="s">
        <v>26</v>
      </c>
      <c r="K807" s="624"/>
      <c r="O807" s="616"/>
      <c r="P807" s="616"/>
      <c r="Q807" s="616"/>
      <c r="AA807" s="624"/>
      <c r="AB807" s="663">
        <v>39035194300</v>
      </c>
      <c r="AC807" s="663" t="s">
        <v>5739</v>
      </c>
      <c r="AD807" s="663" t="s">
        <v>4938</v>
      </c>
      <c r="AE807" s="663" t="s">
        <v>4934</v>
      </c>
      <c r="AF807" s="663" t="s">
        <v>4946</v>
      </c>
    </row>
    <row r="808" spans="1:32" s="608" customFormat="1" x14ac:dyDescent="0.25">
      <c r="A808" s="624"/>
      <c r="B808" s="617">
        <v>39035197500</v>
      </c>
      <c r="C808" s="617" t="s">
        <v>2476</v>
      </c>
      <c r="D808" s="617" t="s">
        <v>42</v>
      </c>
      <c r="E808" s="617" t="s">
        <v>4853</v>
      </c>
      <c r="F808" s="617" t="s">
        <v>26</v>
      </c>
      <c r="G808" s="624"/>
      <c r="H808" s="669">
        <v>41083</v>
      </c>
      <c r="I808" s="617" t="s">
        <v>4867</v>
      </c>
      <c r="J808" s="617" t="s">
        <v>26</v>
      </c>
      <c r="K808" s="624"/>
      <c r="O808" s="616"/>
      <c r="P808" s="616"/>
      <c r="Q808" s="616"/>
      <c r="AA808" s="624"/>
      <c r="AB808" s="663">
        <v>39035194500</v>
      </c>
      <c r="AC808" s="663" t="s">
        <v>5740</v>
      </c>
      <c r="AD808" s="663" t="s">
        <v>4938</v>
      </c>
      <c r="AE808" s="663" t="s">
        <v>4931</v>
      </c>
      <c r="AF808" s="663" t="s">
        <v>4946</v>
      </c>
    </row>
    <row r="809" spans="1:32" s="608" customFormat="1" x14ac:dyDescent="0.25">
      <c r="A809" s="624"/>
      <c r="B809" s="617">
        <v>39035197600</v>
      </c>
      <c r="C809" s="617" t="s">
        <v>2477</v>
      </c>
      <c r="D809" s="617" t="s">
        <v>42</v>
      </c>
      <c r="E809" s="617" t="s">
        <v>4853</v>
      </c>
      <c r="F809" s="617" t="s">
        <v>24</v>
      </c>
      <c r="G809" s="624"/>
      <c r="H809" s="669">
        <v>44702</v>
      </c>
      <c r="I809" s="617" t="s">
        <v>4874</v>
      </c>
      <c r="J809" s="617" t="s">
        <v>26</v>
      </c>
      <c r="K809" s="624"/>
      <c r="O809" s="616"/>
      <c r="P809" s="616"/>
      <c r="Q809" s="616"/>
      <c r="AA809" s="624"/>
      <c r="AB809" s="663">
        <v>39035194800</v>
      </c>
      <c r="AC809" s="663" t="s">
        <v>5741</v>
      </c>
      <c r="AD809" s="663" t="s">
        <v>4941</v>
      </c>
      <c r="AE809" s="663" t="s">
        <v>4931</v>
      </c>
      <c r="AF809" s="663" t="s">
        <v>4946</v>
      </c>
    </row>
    <row r="810" spans="1:32" s="608" customFormat="1" x14ac:dyDescent="0.25">
      <c r="A810" s="624"/>
      <c r="B810" s="617">
        <v>39035197700</v>
      </c>
      <c r="C810" s="617" t="s">
        <v>2478</v>
      </c>
      <c r="D810" s="617" t="s">
        <v>42</v>
      </c>
      <c r="E810" s="617" t="s">
        <v>4853</v>
      </c>
      <c r="F810" s="617" t="s">
        <v>24</v>
      </c>
      <c r="G810" s="624"/>
      <c r="H810" s="669">
        <v>45160</v>
      </c>
      <c r="I810" s="617" t="s">
        <v>4867</v>
      </c>
      <c r="J810" s="617" t="s">
        <v>26</v>
      </c>
      <c r="K810" s="624"/>
      <c r="O810" s="616"/>
      <c r="P810" s="616"/>
      <c r="Q810" s="616"/>
      <c r="AA810" s="624"/>
      <c r="AB810" s="663">
        <v>39035194900</v>
      </c>
      <c r="AC810" s="663" t="s">
        <v>5742</v>
      </c>
      <c r="AD810" s="663" t="s">
        <v>4938</v>
      </c>
      <c r="AE810" s="663" t="s">
        <v>4928</v>
      </c>
      <c r="AF810" s="663" t="s">
        <v>4946</v>
      </c>
    </row>
    <row r="811" spans="1:32" s="608" customFormat="1" x14ac:dyDescent="0.25">
      <c r="A811" s="624"/>
      <c r="B811" s="617">
        <v>39035197800</v>
      </c>
      <c r="C811" s="617" t="s">
        <v>2479</v>
      </c>
      <c r="D811" s="617" t="s">
        <v>42</v>
      </c>
      <c r="E811" s="617" t="s">
        <v>4853</v>
      </c>
      <c r="F811" s="617" t="s">
        <v>26</v>
      </c>
      <c r="G811" s="624"/>
      <c r="H811" s="669">
        <v>43463</v>
      </c>
      <c r="I811" s="617" t="s">
        <v>4872</v>
      </c>
      <c r="J811" s="617" t="s">
        <v>26</v>
      </c>
      <c r="K811" s="624"/>
      <c r="O811" s="616"/>
      <c r="P811" s="616"/>
      <c r="Q811" s="616"/>
      <c r="AA811" s="624"/>
      <c r="AB811" s="663">
        <v>39035195600</v>
      </c>
      <c r="AC811" s="663" t="s">
        <v>5743</v>
      </c>
      <c r="AD811" s="663" t="s">
        <v>4927</v>
      </c>
      <c r="AE811" s="663" t="s">
        <v>4928</v>
      </c>
      <c r="AF811" s="663" t="s">
        <v>4946</v>
      </c>
    </row>
    <row r="812" spans="1:32" s="608" customFormat="1" x14ac:dyDescent="0.25">
      <c r="A812" s="624"/>
      <c r="B812" s="617">
        <v>39035197900</v>
      </c>
      <c r="C812" s="617" t="s">
        <v>2480</v>
      </c>
      <c r="D812" s="617" t="s">
        <v>42</v>
      </c>
      <c r="E812" s="617" t="s">
        <v>4853</v>
      </c>
      <c r="F812" s="617" t="s">
        <v>24</v>
      </c>
      <c r="G812" s="624"/>
      <c r="H812" s="669">
        <v>44333</v>
      </c>
      <c r="I812" s="617" t="s">
        <v>4869</v>
      </c>
      <c r="J812" s="617" t="s">
        <v>26</v>
      </c>
      <c r="K812" s="624"/>
      <c r="O812" s="616"/>
      <c r="P812" s="616"/>
      <c r="Q812" s="616"/>
      <c r="AA812" s="624"/>
      <c r="AB812" s="663">
        <v>39035195700</v>
      </c>
      <c r="AC812" s="663" t="s">
        <v>5744</v>
      </c>
      <c r="AD812" s="663" t="s">
        <v>4927</v>
      </c>
      <c r="AE812" s="663" t="s">
        <v>4934</v>
      </c>
      <c r="AF812" s="663" t="s">
        <v>4946</v>
      </c>
    </row>
    <row r="813" spans="1:32" s="608" customFormat="1" x14ac:dyDescent="0.25">
      <c r="A813" s="624"/>
      <c r="B813" s="617">
        <v>39035198000</v>
      </c>
      <c r="C813" s="617" t="s">
        <v>2481</v>
      </c>
      <c r="D813" s="617" t="s">
        <v>42</v>
      </c>
      <c r="E813" s="617" t="s">
        <v>4853</v>
      </c>
      <c r="F813" s="617" t="s">
        <v>24</v>
      </c>
      <c r="G813" s="624"/>
      <c r="H813" s="669">
        <v>43107</v>
      </c>
      <c r="I813" s="617" t="s">
        <v>1677</v>
      </c>
      <c r="J813" s="617" t="s">
        <v>26</v>
      </c>
      <c r="K813" s="624"/>
      <c r="O813" s="616"/>
      <c r="P813" s="616"/>
      <c r="Q813" s="616"/>
      <c r="AA813" s="624"/>
      <c r="AB813" s="663">
        <v>39035195800</v>
      </c>
      <c r="AC813" s="663" t="s">
        <v>5745</v>
      </c>
      <c r="AD813" s="663" t="s">
        <v>4938</v>
      </c>
      <c r="AE813" s="663" t="s">
        <v>4928</v>
      </c>
      <c r="AF813" s="663" t="s">
        <v>4946</v>
      </c>
    </row>
    <row r="814" spans="1:32" s="608" customFormat="1" x14ac:dyDescent="0.25">
      <c r="A814" s="624"/>
      <c r="B814" s="617">
        <v>39035198100</v>
      </c>
      <c r="C814" s="617" t="s">
        <v>2482</v>
      </c>
      <c r="D814" s="617" t="s">
        <v>42</v>
      </c>
      <c r="E814" s="617" t="s">
        <v>4853</v>
      </c>
      <c r="F814" s="617" t="s">
        <v>24</v>
      </c>
      <c r="G814" s="624"/>
      <c r="H814" s="669">
        <v>43107</v>
      </c>
      <c r="I814" s="617" t="s">
        <v>1675</v>
      </c>
      <c r="J814" s="617" t="s">
        <v>26</v>
      </c>
      <c r="K814" s="624"/>
      <c r="O814" s="616"/>
      <c r="P814" s="616"/>
      <c r="Q814" s="616"/>
      <c r="AA814" s="624"/>
      <c r="AB814" s="663">
        <v>39035195900</v>
      </c>
      <c r="AC814" s="663" t="s">
        <v>5746</v>
      </c>
      <c r="AD814" s="663" t="s">
        <v>4938</v>
      </c>
      <c r="AE814" s="663" t="s">
        <v>4939</v>
      </c>
      <c r="AF814" s="663" t="s">
        <v>4946</v>
      </c>
    </row>
    <row r="815" spans="1:32" s="608" customFormat="1" x14ac:dyDescent="0.25">
      <c r="A815" s="624"/>
      <c r="B815" s="617">
        <v>39035198200</v>
      </c>
      <c r="C815" s="617" t="s">
        <v>2483</v>
      </c>
      <c r="D815" s="617" t="s">
        <v>42</v>
      </c>
      <c r="E815" s="617" t="s">
        <v>4853</v>
      </c>
      <c r="F815" s="617" t="s">
        <v>24</v>
      </c>
      <c r="G815" s="624"/>
      <c r="H815" s="669">
        <v>44201</v>
      </c>
      <c r="I815" s="617" t="s">
        <v>4874</v>
      </c>
      <c r="J815" s="617" t="s">
        <v>26</v>
      </c>
      <c r="K815" s="624"/>
      <c r="O815" s="616"/>
      <c r="P815" s="616"/>
      <c r="Q815" s="616"/>
      <c r="AA815" s="624"/>
      <c r="AB815" s="663">
        <v>39035196000</v>
      </c>
      <c r="AC815" s="663" t="s">
        <v>5747</v>
      </c>
      <c r="AD815" s="663" t="s">
        <v>4948</v>
      </c>
      <c r="AE815" s="663" t="s">
        <v>4928</v>
      </c>
      <c r="AF815" s="663" t="s">
        <v>4946</v>
      </c>
    </row>
    <row r="816" spans="1:32" s="608" customFormat="1" x14ac:dyDescent="0.25">
      <c r="A816" s="624"/>
      <c r="B816" s="617">
        <v>39035198300</v>
      </c>
      <c r="C816" s="617" t="s">
        <v>2484</v>
      </c>
      <c r="D816" s="617" t="s">
        <v>42</v>
      </c>
      <c r="E816" s="617" t="s">
        <v>4853</v>
      </c>
      <c r="F816" s="617" t="s">
        <v>24</v>
      </c>
      <c r="G816" s="624"/>
      <c r="H816" s="669">
        <v>43140</v>
      </c>
      <c r="I816" s="617" t="s">
        <v>4876</v>
      </c>
      <c r="J816" s="617" t="s">
        <v>26</v>
      </c>
      <c r="K816" s="624"/>
      <c r="O816" s="616"/>
      <c r="P816" s="616"/>
      <c r="Q816" s="616"/>
      <c r="AA816" s="624"/>
      <c r="AB816" s="663">
        <v>39035196100</v>
      </c>
      <c r="AC816" s="663" t="s">
        <v>5748</v>
      </c>
      <c r="AD816" s="663" t="s">
        <v>4950</v>
      </c>
      <c r="AE816" s="663" t="s">
        <v>4934</v>
      </c>
      <c r="AF816" s="663" t="s">
        <v>4946</v>
      </c>
    </row>
    <row r="817" spans="1:32" s="608" customFormat="1" x14ac:dyDescent="0.25">
      <c r="A817" s="624"/>
      <c r="B817" s="617">
        <v>39035198400</v>
      </c>
      <c r="C817" s="617" t="s">
        <v>2485</v>
      </c>
      <c r="D817" s="617" t="s">
        <v>42</v>
      </c>
      <c r="E817" s="617" t="s">
        <v>4853</v>
      </c>
      <c r="F817" s="617" t="s">
        <v>24</v>
      </c>
      <c r="G817" s="624"/>
      <c r="H817" s="669">
        <v>45316</v>
      </c>
      <c r="I817" s="617" t="s">
        <v>4876</v>
      </c>
      <c r="J817" s="617" t="s">
        <v>26</v>
      </c>
      <c r="K817" s="624"/>
      <c r="O817" s="616"/>
      <c r="P817" s="616"/>
      <c r="Q817" s="616"/>
      <c r="AA817" s="624"/>
      <c r="AB817" s="663">
        <v>39035196200</v>
      </c>
      <c r="AC817" s="663" t="s">
        <v>5749</v>
      </c>
      <c r="AD817" s="663" t="s">
        <v>4927</v>
      </c>
      <c r="AE817" s="663" t="s">
        <v>4928</v>
      </c>
      <c r="AF817" s="663" t="s">
        <v>4946</v>
      </c>
    </row>
    <row r="818" spans="1:32" s="608" customFormat="1" x14ac:dyDescent="0.25">
      <c r="A818" s="624"/>
      <c r="B818" s="617">
        <v>39035198500</v>
      </c>
      <c r="C818" s="617" t="s">
        <v>2486</v>
      </c>
      <c r="D818" s="617" t="s">
        <v>42</v>
      </c>
      <c r="E818" s="617" t="s">
        <v>4853</v>
      </c>
      <c r="F818" s="617" t="s">
        <v>24</v>
      </c>
      <c r="G818" s="624"/>
      <c r="H818" s="669">
        <v>44321</v>
      </c>
      <c r="I818" s="617" t="s">
        <v>4869</v>
      </c>
      <c r="J818" s="617" t="s">
        <v>26</v>
      </c>
      <c r="K818" s="624"/>
      <c r="O818" s="616"/>
      <c r="P818" s="616"/>
      <c r="Q818" s="616"/>
      <c r="AA818" s="624"/>
      <c r="AB818" s="663">
        <v>39035196300</v>
      </c>
      <c r="AC818" s="663" t="s">
        <v>5750</v>
      </c>
      <c r="AD818" s="663" t="s">
        <v>4938</v>
      </c>
      <c r="AE818" s="663" t="s">
        <v>4931</v>
      </c>
      <c r="AF818" s="663" t="s">
        <v>4946</v>
      </c>
    </row>
    <row r="819" spans="1:32" s="608" customFormat="1" x14ac:dyDescent="0.25">
      <c r="A819" s="624"/>
      <c r="B819" s="617">
        <v>39035198600</v>
      </c>
      <c r="C819" s="617" t="s">
        <v>2487</v>
      </c>
      <c r="D819" s="617" t="s">
        <v>42</v>
      </c>
      <c r="E819" s="617" t="s">
        <v>4853</v>
      </c>
      <c r="F819" s="617" t="s">
        <v>24</v>
      </c>
      <c r="G819" s="624"/>
      <c r="H819" s="669">
        <v>44256</v>
      </c>
      <c r="I819" s="617" t="s">
        <v>4868</v>
      </c>
      <c r="J819" s="617" t="s">
        <v>26</v>
      </c>
      <c r="K819" s="624"/>
      <c r="O819" s="616"/>
      <c r="P819" s="616"/>
      <c r="Q819" s="616"/>
      <c r="AA819" s="624"/>
      <c r="AB819" s="663">
        <v>39035196400</v>
      </c>
      <c r="AC819" s="663" t="s">
        <v>5751</v>
      </c>
      <c r="AD819" s="663" t="s">
        <v>4927</v>
      </c>
      <c r="AE819" s="663" t="s">
        <v>4928</v>
      </c>
      <c r="AF819" s="663" t="s">
        <v>4962</v>
      </c>
    </row>
    <row r="820" spans="1:32" s="608" customFormat="1" x14ac:dyDescent="0.25">
      <c r="A820" s="624"/>
      <c r="B820" s="617">
        <v>39035198700</v>
      </c>
      <c r="C820" s="617" t="s">
        <v>2488</v>
      </c>
      <c r="D820" s="617" t="s">
        <v>42</v>
      </c>
      <c r="E820" s="617" t="s">
        <v>4853</v>
      </c>
      <c r="F820" s="617" t="s">
        <v>26</v>
      </c>
      <c r="G820" s="624"/>
      <c r="H820" s="669">
        <v>45148</v>
      </c>
      <c r="I820" s="617" t="s">
        <v>1674</v>
      </c>
      <c r="J820" s="617" t="s">
        <v>26</v>
      </c>
      <c r="K820" s="624"/>
      <c r="O820" s="616"/>
      <c r="P820" s="616"/>
      <c r="Q820" s="616"/>
      <c r="AA820" s="624"/>
      <c r="AB820" s="663">
        <v>39035196500</v>
      </c>
      <c r="AC820" s="663" t="s">
        <v>5752</v>
      </c>
      <c r="AD820" s="663" t="s">
        <v>4927</v>
      </c>
      <c r="AE820" s="663" t="s">
        <v>4942</v>
      </c>
      <c r="AF820" s="663" t="s">
        <v>4962</v>
      </c>
    </row>
    <row r="821" spans="1:32" s="608" customFormat="1" x14ac:dyDescent="0.25">
      <c r="A821" s="624"/>
      <c r="B821" s="617">
        <v>39035198800</v>
      </c>
      <c r="C821" s="617" t="s">
        <v>2489</v>
      </c>
      <c r="D821" s="617" t="s">
        <v>42</v>
      </c>
      <c r="E821" s="617" t="s">
        <v>4853</v>
      </c>
      <c r="F821" s="617" t="s">
        <v>24</v>
      </c>
      <c r="G821" s="624"/>
      <c r="H821" s="669">
        <v>43040</v>
      </c>
      <c r="I821" s="617" t="s">
        <v>4871</v>
      </c>
      <c r="J821" s="617" t="s">
        <v>26</v>
      </c>
      <c r="K821" s="624"/>
      <c r="O821" s="616"/>
      <c r="P821" s="616"/>
      <c r="Q821" s="616"/>
      <c r="AA821" s="624"/>
      <c r="AB821" s="663">
        <v>39035980100</v>
      </c>
      <c r="AC821" s="663" t="s">
        <v>5753</v>
      </c>
      <c r="AD821" s="663"/>
      <c r="AE821" s="663" t="s">
        <v>5237</v>
      </c>
      <c r="AF821" s="663" t="s">
        <v>4962</v>
      </c>
    </row>
    <row r="822" spans="1:32" s="608" customFormat="1" x14ac:dyDescent="0.25">
      <c r="A822" s="624"/>
      <c r="B822" s="617">
        <v>39035198900</v>
      </c>
      <c r="C822" s="617" t="s">
        <v>2490</v>
      </c>
      <c r="D822" s="617" t="s">
        <v>42</v>
      </c>
      <c r="E822" s="617" t="s">
        <v>4853</v>
      </c>
      <c r="F822" s="617" t="s">
        <v>24</v>
      </c>
      <c r="G822" s="624"/>
      <c r="H822" s="669">
        <v>43153</v>
      </c>
      <c r="I822" s="617" t="s">
        <v>4876</v>
      </c>
      <c r="J822" s="617" t="s">
        <v>26</v>
      </c>
      <c r="K822" s="624"/>
      <c r="O822" s="616"/>
      <c r="P822" s="616"/>
      <c r="Q822" s="616"/>
      <c r="AA822" s="624"/>
      <c r="AB822" s="663">
        <v>39035980500</v>
      </c>
      <c r="AC822" s="663" t="s">
        <v>5754</v>
      </c>
      <c r="AD822" s="663"/>
      <c r="AE822" s="663" t="s">
        <v>5237</v>
      </c>
      <c r="AF822" s="663" t="s">
        <v>4946</v>
      </c>
    </row>
    <row r="823" spans="1:32" s="608" customFormat="1" x14ac:dyDescent="0.25">
      <c r="A823" s="624"/>
      <c r="B823" s="617">
        <v>39035199000</v>
      </c>
      <c r="C823" s="617" t="s">
        <v>2491</v>
      </c>
      <c r="D823" s="617" t="s">
        <v>42</v>
      </c>
      <c r="E823" s="617" t="s">
        <v>4853</v>
      </c>
      <c r="F823" s="617" t="s">
        <v>24</v>
      </c>
      <c r="G823" s="624"/>
      <c r="H823" s="669">
        <v>44859</v>
      </c>
      <c r="I823" s="617" t="s">
        <v>4869</v>
      </c>
      <c r="J823" s="617" t="s">
        <v>26</v>
      </c>
      <c r="K823" s="624"/>
      <c r="O823" s="616"/>
      <c r="P823" s="616"/>
      <c r="Q823" s="616"/>
      <c r="AA823" s="624"/>
      <c r="AB823" s="663">
        <v>39035981100</v>
      </c>
      <c r="AC823" s="663" t="s">
        <v>5755</v>
      </c>
      <c r="AD823" s="663"/>
      <c r="AE823" s="663" t="s">
        <v>5237</v>
      </c>
      <c r="AF823" s="663" t="s">
        <v>4946</v>
      </c>
    </row>
    <row r="824" spans="1:32" s="608" customFormat="1" x14ac:dyDescent="0.25">
      <c r="A824" s="624"/>
      <c r="B824" s="617">
        <v>39035199100</v>
      </c>
      <c r="C824" s="617" t="s">
        <v>2492</v>
      </c>
      <c r="D824" s="617" t="s">
        <v>42</v>
      </c>
      <c r="E824" s="617" t="s">
        <v>4853</v>
      </c>
      <c r="F824" s="617" t="s">
        <v>24</v>
      </c>
      <c r="G824" s="624"/>
      <c r="H824" s="669">
        <v>43117</v>
      </c>
      <c r="I824" s="617" t="s">
        <v>4871</v>
      </c>
      <c r="J824" s="617" t="s">
        <v>26</v>
      </c>
      <c r="K824" s="624"/>
      <c r="O824" s="616"/>
      <c r="P824" s="616"/>
      <c r="Q824" s="616"/>
      <c r="AA824" s="624"/>
      <c r="AB824" s="663">
        <v>39037500100</v>
      </c>
      <c r="AC824" s="663" t="s">
        <v>5756</v>
      </c>
      <c r="AD824" s="663" t="s">
        <v>4941</v>
      </c>
      <c r="AE824" s="663" t="s">
        <v>4931</v>
      </c>
      <c r="AF824" s="663" t="s">
        <v>4929</v>
      </c>
    </row>
    <row r="825" spans="1:32" s="608" customFormat="1" x14ac:dyDescent="0.25">
      <c r="A825" s="624"/>
      <c r="B825" s="617">
        <v>39035199200</v>
      </c>
      <c r="C825" s="617" t="s">
        <v>2493</v>
      </c>
      <c r="D825" s="617" t="s">
        <v>42</v>
      </c>
      <c r="E825" s="617" t="s">
        <v>4853</v>
      </c>
      <c r="F825" s="617" t="s">
        <v>24</v>
      </c>
      <c r="G825" s="624"/>
      <c r="H825" s="669">
        <v>45316</v>
      </c>
      <c r="I825" s="617" t="s">
        <v>4870</v>
      </c>
      <c r="J825" s="617" t="s">
        <v>26</v>
      </c>
      <c r="K825" s="624"/>
      <c r="O825" s="616"/>
      <c r="P825" s="616"/>
      <c r="Q825" s="616"/>
      <c r="AA825" s="624"/>
      <c r="AB825" s="663">
        <v>39037510100</v>
      </c>
      <c r="AC825" s="663" t="s">
        <v>5757</v>
      </c>
      <c r="AD825" s="663" t="s">
        <v>4950</v>
      </c>
      <c r="AE825" s="663" t="s">
        <v>4934</v>
      </c>
      <c r="AF825" s="663" t="s">
        <v>4929</v>
      </c>
    </row>
    <row r="826" spans="1:32" s="608" customFormat="1" x14ac:dyDescent="0.25">
      <c r="A826" s="624"/>
      <c r="B826" s="617">
        <v>39035199300</v>
      </c>
      <c r="C826" s="617" t="s">
        <v>2494</v>
      </c>
      <c r="D826" s="617" t="s">
        <v>42</v>
      </c>
      <c r="E826" s="617" t="s">
        <v>4853</v>
      </c>
      <c r="F826" s="617" t="s">
        <v>24</v>
      </c>
      <c r="G826" s="624"/>
      <c r="H826" s="669">
        <v>44265</v>
      </c>
      <c r="I826" s="617" t="s">
        <v>4868</v>
      </c>
      <c r="J826" s="617" t="s">
        <v>26</v>
      </c>
      <c r="K826" s="624"/>
      <c r="O826" s="616"/>
      <c r="P826" s="616"/>
      <c r="Q826" s="616"/>
      <c r="AA826" s="624"/>
      <c r="AB826" s="663">
        <v>39037520100</v>
      </c>
      <c r="AC826" s="663" t="s">
        <v>5758</v>
      </c>
      <c r="AD826" s="663" t="s">
        <v>4941</v>
      </c>
      <c r="AE826" s="663" t="s">
        <v>4939</v>
      </c>
      <c r="AF826" s="663" t="s">
        <v>4929</v>
      </c>
    </row>
    <row r="827" spans="1:32" s="608" customFormat="1" x14ac:dyDescent="0.25">
      <c r="A827" s="624"/>
      <c r="B827" s="617">
        <v>39035980100</v>
      </c>
      <c r="C827" s="617" t="s">
        <v>2495</v>
      </c>
      <c r="D827" s="617" t="s">
        <v>42</v>
      </c>
      <c r="E827" s="617" t="s">
        <v>4853</v>
      </c>
      <c r="F827" s="617" t="s">
        <v>26</v>
      </c>
      <c r="G827" s="624"/>
      <c r="H827" s="669">
        <v>43019</v>
      </c>
      <c r="I827" s="617" t="s">
        <v>4877</v>
      </c>
      <c r="J827" s="617" t="s">
        <v>26</v>
      </c>
      <c r="K827" s="624"/>
      <c r="O827" s="616"/>
      <c r="P827" s="616"/>
      <c r="Q827" s="616"/>
      <c r="AA827" s="624"/>
      <c r="AB827" s="663">
        <v>39037530100</v>
      </c>
      <c r="AC827" s="663" t="s">
        <v>5759</v>
      </c>
      <c r="AD827" s="663" t="s">
        <v>4938</v>
      </c>
      <c r="AE827" s="663" t="s">
        <v>4939</v>
      </c>
      <c r="AF827" s="663" t="s">
        <v>4929</v>
      </c>
    </row>
    <row r="828" spans="1:32" s="608" customFormat="1" x14ac:dyDescent="0.25">
      <c r="A828" s="624"/>
      <c r="B828" s="617">
        <v>39035980200</v>
      </c>
      <c r="C828" s="617" t="s">
        <v>2496</v>
      </c>
      <c r="D828" s="617" t="s">
        <v>42</v>
      </c>
      <c r="E828" s="617" t="s">
        <v>4853</v>
      </c>
      <c r="F828" s="617" t="s">
        <v>26</v>
      </c>
      <c r="G828" s="624"/>
      <c r="H828" s="669">
        <v>45115</v>
      </c>
      <c r="I828" s="617" t="s">
        <v>1674</v>
      </c>
      <c r="J828" s="617" t="s">
        <v>26</v>
      </c>
      <c r="K828" s="624"/>
      <c r="O828" s="616"/>
      <c r="P828" s="616"/>
      <c r="Q828" s="616"/>
      <c r="AA828" s="624"/>
      <c r="AB828" s="663">
        <v>39037540100</v>
      </c>
      <c r="AC828" s="663" t="s">
        <v>5760</v>
      </c>
      <c r="AD828" s="663" t="s">
        <v>4948</v>
      </c>
      <c r="AE828" s="663" t="s">
        <v>4939</v>
      </c>
      <c r="AF828" s="663" t="s">
        <v>4929</v>
      </c>
    </row>
    <row r="829" spans="1:32" s="608" customFormat="1" x14ac:dyDescent="0.25">
      <c r="A829" s="624"/>
      <c r="B829" s="617">
        <v>39035980500</v>
      </c>
      <c r="C829" s="617" t="s">
        <v>2497</v>
      </c>
      <c r="D829" s="617" t="s">
        <v>42</v>
      </c>
      <c r="E829" s="617" t="s">
        <v>4853</v>
      </c>
      <c r="F829" s="617" t="s">
        <v>26</v>
      </c>
      <c r="G829" s="624"/>
      <c r="H829" s="669">
        <v>43032</v>
      </c>
      <c r="I829" s="617" t="s">
        <v>4871</v>
      </c>
      <c r="J829" s="617" t="s">
        <v>26</v>
      </c>
      <c r="K829" s="624"/>
      <c r="O829" s="616"/>
      <c r="P829" s="616"/>
      <c r="Q829" s="616"/>
      <c r="AA829" s="624"/>
      <c r="AB829" s="663">
        <v>39037550100</v>
      </c>
      <c r="AC829" s="663" t="s">
        <v>5761</v>
      </c>
      <c r="AD829" s="663" t="s">
        <v>4948</v>
      </c>
      <c r="AE829" s="663" t="s">
        <v>4931</v>
      </c>
      <c r="AF829" s="663" t="s">
        <v>4929</v>
      </c>
    </row>
    <row r="830" spans="1:32" s="608" customFormat="1" x14ac:dyDescent="0.25">
      <c r="A830" s="624"/>
      <c r="B830" s="617">
        <v>39035980900</v>
      </c>
      <c r="C830" s="617" t="s">
        <v>2498</v>
      </c>
      <c r="D830" s="617" t="s">
        <v>42</v>
      </c>
      <c r="E830" s="617" t="s">
        <v>4853</v>
      </c>
      <c r="F830" s="617" t="s">
        <v>26</v>
      </c>
      <c r="G830" s="624"/>
      <c r="H830" s="669">
        <v>45133</v>
      </c>
      <c r="I830" s="617" t="s">
        <v>1674</v>
      </c>
      <c r="J830" s="617" t="s">
        <v>26</v>
      </c>
      <c r="K830" s="624"/>
      <c r="O830" s="616"/>
      <c r="P830" s="616"/>
      <c r="Q830" s="616"/>
      <c r="AA830" s="624"/>
      <c r="AB830" s="663">
        <v>39037555000</v>
      </c>
      <c r="AC830" s="663" t="s">
        <v>5762</v>
      </c>
      <c r="AD830" s="663" t="s">
        <v>4941</v>
      </c>
      <c r="AE830" s="663" t="s">
        <v>4939</v>
      </c>
      <c r="AF830" s="663" t="s">
        <v>4929</v>
      </c>
    </row>
    <row r="831" spans="1:32" s="608" customFormat="1" x14ac:dyDescent="0.25">
      <c r="A831" s="624"/>
      <c r="B831" s="617">
        <v>39035981000</v>
      </c>
      <c r="C831" s="617" t="s">
        <v>2499</v>
      </c>
      <c r="D831" s="617" t="s">
        <v>42</v>
      </c>
      <c r="E831" s="617" t="s">
        <v>4853</v>
      </c>
      <c r="F831" s="617" t="s">
        <v>26</v>
      </c>
      <c r="G831" s="624"/>
      <c r="H831" s="669">
        <v>43342</v>
      </c>
      <c r="I831" s="617" t="s">
        <v>4871</v>
      </c>
      <c r="J831" s="617" t="s">
        <v>26</v>
      </c>
      <c r="K831" s="624"/>
      <c r="O831" s="616"/>
      <c r="P831" s="616"/>
      <c r="Q831" s="616"/>
      <c r="AA831" s="624"/>
      <c r="AB831" s="663">
        <v>39037555101</v>
      </c>
      <c r="AC831" s="663" t="s">
        <v>5763</v>
      </c>
      <c r="AD831" s="663" t="s">
        <v>4927</v>
      </c>
      <c r="AE831" s="663" t="s">
        <v>4942</v>
      </c>
      <c r="AF831" s="663" t="s">
        <v>4929</v>
      </c>
    </row>
    <row r="832" spans="1:32" s="608" customFormat="1" x14ac:dyDescent="0.25">
      <c r="A832" s="624"/>
      <c r="B832" s="617">
        <v>39035981100</v>
      </c>
      <c r="C832" s="617" t="s">
        <v>2500</v>
      </c>
      <c r="D832" s="617" t="s">
        <v>42</v>
      </c>
      <c r="E832" s="617" t="s">
        <v>4853</v>
      </c>
      <c r="F832" s="617" t="s">
        <v>26</v>
      </c>
      <c r="G832" s="624"/>
      <c r="H832" s="669">
        <v>44285</v>
      </c>
      <c r="I832" s="617" t="s">
        <v>4868</v>
      </c>
      <c r="J832" s="617" t="s">
        <v>26</v>
      </c>
      <c r="K832" s="624"/>
      <c r="O832" s="616"/>
      <c r="P832" s="616"/>
      <c r="Q832" s="616"/>
      <c r="AA832" s="624"/>
      <c r="AB832" s="663">
        <v>39037555102</v>
      </c>
      <c r="AC832" s="663" t="s">
        <v>5764</v>
      </c>
      <c r="AD832" s="663" t="s">
        <v>4927</v>
      </c>
      <c r="AE832" s="663" t="s">
        <v>4928</v>
      </c>
      <c r="AF832" s="663" t="s">
        <v>4929</v>
      </c>
    </row>
    <row r="833" spans="1:32" s="608" customFormat="1" x14ac:dyDescent="0.25">
      <c r="A833" s="624"/>
      <c r="B833" s="617">
        <v>39035990000</v>
      </c>
      <c r="C833" s="617" t="s">
        <v>2501</v>
      </c>
      <c r="D833" s="617" t="s">
        <v>42</v>
      </c>
      <c r="E833" s="617" t="s">
        <v>4853</v>
      </c>
      <c r="F833" s="617" t="s">
        <v>26</v>
      </c>
      <c r="G833" s="624"/>
      <c r="H833" s="669">
        <v>44491</v>
      </c>
      <c r="I833" s="617" t="s">
        <v>4868</v>
      </c>
      <c r="J833" s="617" t="s">
        <v>26</v>
      </c>
      <c r="K833" s="624"/>
      <c r="O833" s="616"/>
      <c r="P833" s="616"/>
      <c r="Q833" s="616"/>
      <c r="AA833" s="624"/>
      <c r="AB833" s="663">
        <v>39037560100</v>
      </c>
      <c r="AC833" s="663" t="s">
        <v>5765</v>
      </c>
      <c r="AD833" s="663" t="s">
        <v>4948</v>
      </c>
      <c r="AE833" s="663" t="s">
        <v>4942</v>
      </c>
      <c r="AF833" s="663" t="s">
        <v>4929</v>
      </c>
    </row>
    <row r="834" spans="1:32" s="608" customFormat="1" x14ac:dyDescent="0.25">
      <c r="A834" s="624"/>
      <c r="B834" s="617">
        <v>39037500100</v>
      </c>
      <c r="C834" s="617" t="s">
        <v>2502</v>
      </c>
      <c r="D834" s="617" t="s">
        <v>43</v>
      </c>
      <c r="E834" s="617" t="s">
        <v>1672</v>
      </c>
      <c r="F834" s="617" t="s">
        <v>26</v>
      </c>
      <c r="G834" s="624"/>
      <c r="H834" s="669">
        <v>44652</v>
      </c>
      <c r="I834" s="617" t="s">
        <v>4874</v>
      </c>
      <c r="J834" s="617" t="s">
        <v>26</v>
      </c>
      <c r="K834" s="624"/>
      <c r="O834" s="616"/>
      <c r="P834" s="616"/>
      <c r="Q834" s="616"/>
      <c r="AA834" s="624"/>
      <c r="AB834" s="663">
        <v>39037570101</v>
      </c>
      <c r="AC834" s="663" t="s">
        <v>5766</v>
      </c>
      <c r="AD834" s="663" t="s">
        <v>4941</v>
      </c>
      <c r="AE834" s="663" t="s">
        <v>4931</v>
      </c>
      <c r="AF834" s="663" t="s">
        <v>4929</v>
      </c>
    </row>
    <row r="835" spans="1:32" s="608" customFormat="1" x14ac:dyDescent="0.25">
      <c r="A835" s="624"/>
      <c r="B835" s="617">
        <v>39037510100</v>
      </c>
      <c r="C835" s="617" t="s">
        <v>2503</v>
      </c>
      <c r="D835" s="617" t="s">
        <v>43</v>
      </c>
      <c r="E835" s="617" t="s">
        <v>1672</v>
      </c>
      <c r="F835" s="617" t="s">
        <v>26</v>
      </c>
      <c r="G835" s="624"/>
      <c r="H835" s="669">
        <v>45844</v>
      </c>
      <c r="I835" s="617" t="s">
        <v>4875</v>
      </c>
      <c r="J835" s="617" t="s">
        <v>26</v>
      </c>
      <c r="K835" s="624"/>
      <c r="O835" s="616"/>
      <c r="P835" s="616"/>
      <c r="Q835" s="616"/>
      <c r="AA835" s="624"/>
      <c r="AB835" s="663">
        <v>39037570102</v>
      </c>
      <c r="AC835" s="663" t="s">
        <v>5767</v>
      </c>
      <c r="AD835" s="663" t="s">
        <v>4941</v>
      </c>
      <c r="AE835" s="663" t="s">
        <v>4939</v>
      </c>
      <c r="AF835" s="663" t="s">
        <v>4929</v>
      </c>
    </row>
    <row r="836" spans="1:32" s="608" customFormat="1" x14ac:dyDescent="0.25">
      <c r="A836" s="624"/>
      <c r="B836" s="617">
        <v>39037520100</v>
      </c>
      <c r="C836" s="617" t="s">
        <v>2504</v>
      </c>
      <c r="D836" s="617" t="s">
        <v>43</v>
      </c>
      <c r="E836" s="617" t="s">
        <v>1672</v>
      </c>
      <c r="F836" s="617" t="s">
        <v>26</v>
      </c>
      <c r="G836" s="624"/>
      <c r="H836" s="669">
        <v>43078</v>
      </c>
      <c r="I836" s="617" t="s">
        <v>4876</v>
      </c>
      <c r="J836" s="617" t="s">
        <v>26</v>
      </c>
      <c r="K836" s="624"/>
      <c r="O836" s="616"/>
      <c r="P836" s="616"/>
      <c r="Q836" s="616"/>
      <c r="AA836" s="624"/>
      <c r="AB836" s="663">
        <v>39039958100</v>
      </c>
      <c r="AC836" s="663" t="s">
        <v>5768</v>
      </c>
      <c r="AD836" s="663" t="s">
        <v>4941</v>
      </c>
      <c r="AE836" s="663" t="s">
        <v>4942</v>
      </c>
      <c r="AF836" s="663" t="s">
        <v>4929</v>
      </c>
    </row>
    <row r="837" spans="1:32" s="608" customFormat="1" x14ac:dyDescent="0.25">
      <c r="A837" s="624"/>
      <c r="B837" s="617">
        <v>39037530100</v>
      </c>
      <c r="C837" s="617" t="s">
        <v>2505</v>
      </c>
      <c r="D837" s="617" t="s">
        <v>43</v>
      </c>
      <c r="E837" s="617" t="s">
        <v>1672</v>
      </c>
      <c r="F837" s="617" t="s">
        <v>26</v>
      </c>
      <c r="G837" s="624"/>
      <c r="H837" s="669">
        <v>43153</v>
      </c>
      <c r="I837" s="617" t="s">
        <v>4870</v>
      </c>
      <c r="J837" s="617" t="s">
        <v>26</v>
      </c>
      <c r="K837" s="624"/>
      <c r="O837" s="616"/>
      <c r="P837" s="616"/>
      <c r="Q837" s="616"/>
      <c r="AA837" s="624"/>
      <c r="AB837" s="663">
        <v>39039958200</v>
      </c>
      <c r="AC837" s="663" t="s">
        <v>5769</v>
      </c>
      <c r="AD837" s="663" t="s">
        <v>4941</v>
      </c>
      <c r="AE837" s="663" t="s">
        <v>4939</v>
      </c>
      <c r="AF837" s="663" t="s">
        <v>4929</v>
      </c>
    </row>
    <row r="838" spans="1:32" s="608" customFormat="1" x14ac:dyDescent="0.25">
      <c r="A838" s="624"/>
      <c r="B838" s="617">
        <v>39037540100</v>
      </c>
      <c r="C838" s="617" t="s">
        <v>2506</v>
      </c>
      <c r="D838" s="617" t="s">
        <v>43</v>
      </c>
      <c r="E838" s="617" t="s">
        <v>1672</v>
      </c>
      <c r="F838" s="617" t="s">
        <v>26</v>
      </c>
      <c r="G838" s="624"/>
      <c r="H838" s="669">
        <v>45877</v>
      </c>
      <c r="I838" s="617" t="s">
        <v>4875</v>
      </c>
      <c r="J838" s="617" t="s">
        <v>26</v>
      </c>
      <c r="K838" s="624"/>
      <c r="O838" s="616"/>
      <c r="P838" s="616"/>
      <c r="Q838" s="616"/>
      <c r="AA838" s="624"/>
      <c r="AB838" s="663">
        <v>39039958300</v>
      </c>
      <c r="AC838" s="663" t="s">
        <v>5770</v>
      </c>
      <c r="AD838" s="663" t="s">
        <v>4938</v>
      </c>
      <c r="AE838" s="663" t="s">
        <v>4939</v>
      </c>
      <c r="AF838" s="663" t="s">
        <v>4929</v>
      </c>
    </row>
    <row r="839" spans="1:32" s="608" customFormat="1" x14ac:dyDescent="0.25">
      <c r="A839" s="624"/>
      <c r="B839" s="617">
        <v>39037550100</v>
      </c>
      <c r="C839" s="617" t="s">
        <v>2507</v>
      </c>
      <c r="D839" s="617" t="s">
        <v>43</v>
      </c>
      <c r="E839" s="617" t="s">
        <v>1672</v>
      </c>
      <c r="F839" s="617" t="s">
        <v>26</v>
      </c>
      <c r="G839" s="624"/>
      <c r="H839" s="669">
        <v>45314</v>
      </c>
      <c r="I839" s="617" t="s">
        <v>4876</v>
      </c>
      <c r="J839" s="617" t="s">
        <v>26</v>
      </c>
      <c r="K839" s="624"/>
      <c r="O839" s="616"/>
      <c r="P839" s="616"/>
      <c r="Q839" s="616"/>
      <c r="AA839" s="624"/>
      <c r="AB839" s="663">
        <v>39039958400</v>
      </c>
      <c r="AC839" s="663" t="s">
        <v>5771</v>
      </c>
      <c r="AD839" s="663" t="s">
        <v>4948</v>
      </c>
      <c r="AE839" s="663" t="s">
        <v>4931</v>
      </c>
      <c r="AF839" s="663" t="s">
        <v>4929</v>
      </c>
    </row>
    <row r="840" spans="1:32" s="608" customFormat="1" x14ac:dyDescent="0.25">
      <c r="A840" s="624"/>
      <c r="B840" s="617">
        <v>39037555001</v>
      </c>
      <c r="C840" s="617" t="s">
        <v>2508</v>
      </c>
      <c r="D840" s="617" t="s">
        <v>43</v>
      </c>
      <c r="E840" s="617" t="s">
        <v>1672</v>
      </c>
      <c r="F840" s="617" t="s">
        <v>26</v>
      </c>
      <c r="G840" s="624"/>
      <c r="H840" s="669">
        <v>43344</v>
      </c>
      <c r="I840" s="617" t="s">
        <v>4871</v>
      </c>
      <c r="J840" s="617" t="s">
        <v>26</v>
      </c>
      <c r="K840" s="624"/>
      <c r="O840" s="616"/>
      <c r="P840" s="616"/>
      <c r="Q840" s="616"/>
      <c r="AA840" s="624"/>
      <c r="AB840" s="663">
        <v>39039958500</v>
      </c>
      <c r="AC840" s="663" t="s">
        <v>5772</v>
      </c>
      <c r="AD840" s="663" t="s">
        <v>4941</v>
      </c>
      <c r="AE840" s="663" t="s">
        <v>4928</v>
      </c>
      <c r="AF840" s="663" t="s">
        <v>4929</v>
      </c>
    </row>
    <row r="841" spans="1:32" s="608" customFormat="1" x14ac:dyDescent="0.25">
      <c r="A841" s="624"/>
      <c r="B841" s="617">
        <v>39037555002</v>
      </c>
      <c r="C841" s="617" t="s">
        <v>2509</v>
      </c>
      <c r="D841" s="617" t="s">
        <v>43</v>
      </c>
      <c r="E841" s="617" t="s">
        <v>1672</v>
      </c>
      <c r="F841" s="617" t="s">
        <v>26</v>
      </c>
      <c r="G841" s="624"/>
      <c r="H841" s="669">
        <v>43557</v>
      </c>
      <c r="I841" s="617" t="s">
        <v>4872</v>
      </c>
      <c r="J841" s="617" t="s">
        <v>26</v>
      </c>
      <c r="K841" s="624"/>
      <c r="O841" s="616"/>
      <c r="P841" s="616"/>
      <c r="Q841" s="616"/>
      <c r="AA841" s="624"/>
      <c r="AB841" s="663">
        <v>39039958600</v>
      </c>
      <c r="AC841" s="663" t="s">
        <v>5773</v>
      </c>
      <c r="AD841" s="663" t="s">
        <v>4948</v>
      </c>
      <c r="AE841" s="663" t="s">
        <v>4942</v>
      </c>
      <c r="AF841" s="663" t="s">
        <v>4929</v>
      </c>
    </row>
    <row r="842" spans="1:32" s="608" customFormat="1" x14ac:dyDescent="0.25">
      <c r="A842" s="624"/>
      <c r="B842" s="617">
        <v>39037555101</v>
      </c>
      <c r="C842" s="617" t="s">
        <v>2510</v>
      </c>
      <c r="D842" s="617" t="s">
        <v>43</v>
      </c>
      <c r="E842" s="617" t="s">
        <v>1672</v>
      </c>
      <c r="F842" s="617" t="s">
        <v>26</v>
      </c>
      <c r="G842" s="624"/>
      <c r="H842" s="669">
        <v>44429</v>
      </c>
      <c r="I842" s="617" t="s">
        <v>4868</v>
      </c>
      <c r="J842" s="617" t="s">
        <v>26</v>
      </c>
      <c r="K842" s="624"/>
      <c r="O842" s="616"/>
      <c r="P842" s="616"/>
      <c r="Q842" s="616"/>
      <c r="AA842" s="624"/>
      <c r="AB842" s="663">
        <v>39039958700</v>
      </c>
      <c r="AC842" s="663" t="s">
        <v>5774</v>
      </c>
      <c r="AD842" s="663" t="s">
        <v>4941</v>
      </c>
      <c r="AE842" s="663" t="s">
        <v>4934</v>
      </c>
      <c r="AF842" s="663" t="s">
        <v>4983</v>
      </c>
    </row>
    <row r="843" spans="1:32" s="608" customFormat="1" x14ac:dyDescent="0.25">
      <c r="A843" s="624"/>
      <c r="B843" s="617">
        <v>39037555102</v>
      </c>
      <c r="C843" s="617" t="s">
        <v>2511</v>
      </c>
      <c r="D843" s="617" t="s">
        <v>43</v>
      </c>
      <c r="E843" s="617" t="s">
        <v>1672</v>
      </c>
      <c r="F843" s="617" t="s">
        <v>24</v>
      </c>
      <c r="G843" s="624"/>
      <c r="H843" s="669">
        <v>45304</v>
      </c>
      <c r="I843" s="617" t="s">
        <v>4870</v>
      </c>
      <c r="J843" s="617" t="s">
        <v>26</v>
      </c>
      <c r="K843" s="624"/>
      <c r="O843" s="616"/>
      <c r="P843" s="616"/>
      <c r="Q843" s="616"/>
      <c r="AA843" s="624"/>
      <c r="AB843" s="663">
        <v>39039958800</v>
      </c>
      <c r="AC843" s="663" t="s">
        <v>5775</v>
      </c>
      <c r="AD843" s="663" t="s">
        <v>4950</v>
      </c>
      <c r="AE843" s="663" t="s">
        <v>4931</v>
      </c>
      <c r="AF843" s="663" t="s">
        <v>4929</v>
      </c>
    </row>
    <row r="844" spans="1:32" s="608" customFormat="1" x14ac:dyDescent="0.25">
      <c r="A844" s="624"/>
      <c r="B844" s="617">
        <v>39037560101</v>
      </c>
      <c r="C844" s="617" t="s">
        <v>2512</v>
      </c>
      <c r="D844" s="617" t="s">
        <v>43</v>
      </c>
      <c r="E844" s="617" t="s">
        <v>1672</v>
      </c>
      <c r="F844" s="617" t="s">
        <v>26</v>
      </c>
      <c r="G844" s="624"/>
      <c r="H844" s="669">
        <v>45622</v>
      </c>
      <c r="I844" s="617" t="s">
        <v>1675</v>
      </c>
      <c r="J844" s="617" t="s">
        <v>26</v>
      </c>
      <c r="K844" s="624"/>
      <c r="O844" s="616"/>
      <c r="P844" s="616"/>
      <c r="Q844" s="616"/>
      <c r="AA844" s="624"/>
      <c r="AB844" s="663">
        <v>39039958900</v>
      </c>
      <c r="AC844" s="663" t="s">
        <v>5776</v>
      </c>
      <c r="AD844" s="663" t="s">
        <v>4941</v>
      </c>
      <c r="AE844" s="663" t="s">
        <v>4942</v>
      </c>
      <c r="AF844" s="663" t="s">
        <v>4929</v>
      </c>
    </row>
    <row r="845" spans="1:32" s="608" customFormat="1" x14ac:dyDescent="0.25">
      <c r="A845" s="624"/>
      <c r="B845" s="617">
        <v>39037560102</v>
      </c>
      <c r="C845" s="617" t="s">
        <v>2513</v>
      </c>
      <c r="D845" s="617" t="s">
        <v>43</v>
      </c>
      <c r="E845" s="617" t="s">
        <v>1672</v>
      </c>
      <c r="F845" s="617" t="s">
        <v>26</v>
      </c>
      <c r="G845" s="624"/>
      <c r="H845" s="669">
        <v>43084</v>
      </c>
      <c r="I845" s="617" t="s">
        <v>1678</v>
      </c>
      <c r="J845" s="617" t="s">
        <v>26</v>
      </c>
      <c r="K845" s="624"/>
      <c r="O845" s="616"/>
      <c r="P845" s="616"/>
      <c r="Q845" s="616"/>
      <c r="AA845" s="624"/>
      <c r="AB845" s="663">
        <v>39041010100</v>
      </c>
      <c r="AC845" s="663" t="s">
        <v>5777</v>
      </c>
      <c r="AD845" s="663" t="s">
        <v>4941</v>
      </c>
      <c r="AE845" s="663" t="s">
        <v>4939</v>
      </c>
      <c r="AF845" s="663" t="s">
        <v>4946</v>
      </c>
    </row>
    <row r="846" spans="1:32" s="608" customFormat="1" x14ac:dyDescent="0.25">
      <c r="A846" s="624"/>
      <c r="B846" s="617">
        <v>39037570101</v>
      </c>
      <c r="C846" s="617" t="s">
        <v>2514</v>
      </c>
      <c r="D846" s="617" t="s">
        <v>43</v>
      </c>
      <c r="E846" s="617" t="s">
        <v>1672</v>
      </c>
      <c r="F846" s="617" t="s">
        <v>26</v>
      </c>
      <c r="G846" s="624"/>
      <c r="H846" s="669">
        <v>43319</v>
      </c>
      <c r="I846" s="617" t="s">
        <v>1678</v>
      </c>
      <c r="J846" s="617" t="s">
        <v>26</v>
      </c>
      <c r="K846" s="624"/>
      <c r="O846" s="616"/>
      <c r="P846" s="616"/>
      <c r="Q846" s="616"/>
      <c r="AA846" s="624"/>
      <c r="AB846" s="663">
        <v>39041010200</v>
      </c>
      <c r="AC846" s="663" t="s">
        <v>5778</v>
      </c>
      <c r="AD846" s="663" t="s">
        <v>4950</v>
      </c>
      <c r="AE846" s="663" t="s">
        <v>4934</v>
      </c>
      <c r="AF846" s="663" t="s">
        <v>4946</v>
      </c>
    </row>
    <row r="847" spans="1:32" s="608" customFormat="1" x14ac:dyDescent="0.25">
      <c r="A847" s="624"/>
      <c r="B847" s="617">
        <v>39037570102</v>
      </c>
      <c r="C847" s="617" t="s">
        <v>2515</v>
      </c>
      <c r="D847" s="617" t="s">
        <v>43</v>
      </c>
      <c r="E847" s="617" t="s">
        <v>1672</v>
      </c>
      <c r="F847" s="617" t="s">
        <v>26</v>
      </c>
      <c r="G847" s="624"/>
      <c r="H847" s="669">
        <v>43908</v>
      </c>
      <c r="I847" s="617" t="s">
        <v>4874</v>
      </c>
      <c r="J847" s="617" t="s">
        <v>26</v>
      </c>
      <c r="K847" s="624"/>
      <c r="O847" s="616"/>
      <c r="P847" s="616"/>
      <c r="Q847" s="616"/>
      <c r="AA847" s="624"/>
      <c r="AB847" s="663">
        <v>39041010420</v>
      </c>
      <c r="AC847" s="663" t="s">
        <v>5779</v>
      </c>
      <c r="AD847" s="663" t="s">
        <v>4941</v>
      </c>
      <c r="AE847" s="663" t="s">
        <v>4939</v>
      </c>
      <c r="AF847" s="663" t="s">
        <v>4946</v>
      </c>
    </row>
    <row r="848" spans="1:32" s="608" customFormat="1" x14ac:dyDescent="0.25">
      <c r="A848" s="624"/>
      <c r="B848" s="617">
        <v>39039958100</v>
      </c>
      <c r="C848" s="617" t="s">
        <v>2516</v>
      </c>
      <c r="D848" s="617" t="s">
        <v>44</v>
      </c>
      <c r="E848" s="617" t="s">
        <v>1672</v>
      </c>
      <c r="F848" s="617" t="s">
        <v>26</v>
      </c>
      <c r="G848" s="624"/>
      <c r="H848" s="669">
        <v>45369</v>
      </c>
      <c r="I848" s="617" t="s">
        <v>4871</v>
      </c>
      <c r="J848" s="617" t="s">
        <v>26</v>
      </c>
      <c r="K848" s="624"/>
      <c r="O848" s="616"/>
      <c r="P848" s="616"/>
      <c r="Q848" s="616"/>
      <c r="AA848" s="624"/>
      <c r="AB848" s="663">
        <v>39041010421</v>
      </c>
      <c r="AC848" s="663" t="s">
        <v>5780</v>
      </c>
      <c r="AD848" s="663" t="s">
        <v>4941</v>
      </c>
      <c r="AE848" s="663" t="s">
        <v>4939</v>
      </c>
      <c r="AF848" s="663" t="s">
        <v>4946</v>
      </c>
    </row>
    <row r="849" spans="1:32" s="608" customFormat="1" x14ac:dyDescent="0.25">
      <c r="A849" s="624"/>
      <c r="B849" s="617">
        <v>39039958200</v>
      </c>
      <c r="C849" s="617" t="s">
        <v>2517</v>
      </c>
      <c r="D849" s="617" t="s">
        <v>44</v>
      </c>
      <c r="E849" s="617" t="s">
        <v>1672</v>
      </c>
      <c r="F849" s="617" t="s">
        <v>26</v>
      </c>
      <c r="G849" s="624"/>
      <c r="H849" s="669">
        <v>43986</v>
      </c>
      <c r="I849" s="617" t="s">
        <v>4874</v>
      </c>
      <c r="J849" s="617" t="s">
        <v>26</v>
      </c>
      <c r="K849" s="624"/>
      <c r="O849" s="616"/>
      <c r="P849" s="616"/>
      <c r="Q849" s="616"/>
      <c r="AA849" s="624"/>
      <c r="AB849" s="663">
        <v>39041010422</v>
      </c>
      <c r="AC849" s="663" t="s">
        <v>5781</v>
      </c>
      <c r="AD849" s="663" t="s">
        <v>4948</v>
      </c>
      <c r="AE849" s="663" t="s">
        <v>4942</v>
      </c>
      <c r="AF849" s="663" t="s">
        <v>4946</v>
      </c>
    </row>
    <row r="850" spans="1:32" s="608" customFormat="1" x14ac:dyDescent="0.25">
      <c r="A850" s="624"/>
      <c r="B850" s="617">
        <v>39039958300</v>
      </c>
      <c r="C850" s="617" t="s">
        <v>2518</v>
      </c>
      <c r="D850" s="617" t="s">
        <v>44</v>
      </c>
      <c r="E850" s="617" t="s">
        <v>1672</v>
      </c>
      <c r="F850" s="617" t="s">
        <v>26</v>
      </c>
      <c r="G850" s="624"/>
      <c r="H850" s="669">
        <v>45145</v>
      </c>
      <c r="I850" s="617" t="s">
        <v>4867</v>
      </c>
      <c r="J850" s="617" t="s">
        <v>26</v>
      </c>
      <c r="K850" s="624"/>
      <c r="O850" s="616"/>
      <c r="P850" s="616"/>
      <c r="Q850" s="616"/>
      <c r="AA850" s="624"/>
      <c r="AB850" s="663">
        <v>39041010520</v>
      </c>
      <c r="AC850" s="663" t="s">
        <v>5782</v>
      </c>
      <c r="AD850" s="663" t="s">
        <v>4948</v>
      </c>
      <c r="AE850" s="663" t="s">
        <v>4942</v>
      </c>
      <c r="AF850" s="663" t="s">
        <v>4946</v>
      </c>
    </row>
    <row r="851" spans="1:32" s="608" customFormat="1" x14ac:dyDescent="0.25">
      <c r="A851" s="624"/>
      <c r="B851" s="617">
        <v>39039958400</v>
      </c>
      <c r="C851" s="617" t="s">
        <v>2519</v>
      </c>
      <c r="D851" s="617" t="s">
        <v>44</v>
      </c>
      <c r="E851" s="617" t="s">
        <v>1672</v>
      </c>
      <c r="F851" s="617" t="s">
        <v>26</v>
      </c>
      <c r="G851" s="624"/>
      <c r="H851" s="669">
        <v>43446</v>
      </c>
      <c r="I851" s="617" t="s">
        <v>1676</v>
      </c>
      <c r="J851" s="617" t="s">
        <v>26</v>
      </c>
      <c r="K851" s="624"/>
      <c r="O851" s="616"/>
      <c r="P851" s="616"/>
      <c r="Q851" s="616"/>
      <c r="AA851" s="624"/>
      <c r="AB851" s="663">
        <v>39041010530</v>
      </c>
      <c r="AC851" s="663" t="s">
        <v>5783</v>
      </c>
      <c r="AD851" s="663" t="s">
        <v>4950</v>
      </c>
      <c r="AE851" s="663" t="s">
        <v>4942</v>
      </c>
      <c r="AF851" s="663" t="s">
        <v>4946</v>
      </c>
    </row>
    <row r="852" spans="1:32" s="608" customFormat="1" x14ac:dyDescent="0.25">
      <c r="A852" s="624"/>
      <c r="B852" s="617">
        <v>39039958500</v>
      </c>
      <c r="C852" s="617" t="s">
        <v>2520</v>
      </c>
      <c r="D852" s="617" t="s">
        <v>44</v>
      </c>
      <c r="E852" s="617" t="s">
        <v>1672</v>
      </c>
      <c r="F852" s="617" t="s">
        <v>26</v>
      </c>
      <c r="G852" s="624"/>
      <c r="H852" s="669">
        <v>44621</v>
      </c>
      <c r="I852" s="617" t="s">
        <v>4874</v>
      </c>
      <c r="J852" s="617" t="s">
        <v>26</v>
      </c>
      <c r="K852" s="624"/>
      <c r="O852" s="616"/>
      <c r="P852" s="616"/>
      <c r="Q852" s="616"/>
      <c r="AA852" s="624"/>
      <c r="AB852" s="663">
        <v>39041011101</v>
      </c>
      <c r="AC852" s="663" t="s">
        <v>5784</v>
      </c>
      <c r="AD852" s="663" t="s">
        <v>4948</v>
      </c>
      <c r="AE852" s="663" t="s">
        <v>4934</v>
      </c>
      <c r="AF852" s="663" t="s">
        <v>4929</v>
      </c>
    </row>
    <row r="853" spans="1:32" s="608" customFormat="1" x14ac:dyDescent="0.25">
      <c r="A853" s="624"/>
      <c r="B853" s="617">
        <v>39039958600</v>
      </c>
      <c r="C853" s="617" t="s">
        <v>2521</v>
      </c>
      <c r="D853" s="617" t="s">
        <v>44</v>
      </c>
      <c r="E853" s="617" t="s">
        <v>1672</v>
      </c>
      <c r="F853" s="617" t="s">
        <v>26</v>
      </c>
      <c r="G853" s="624"/>
      <c r="H853" s="669">
        <v>43060</v>
      </c>
      <c r="I853" s="617" t="s">
        <v>1678</v>
      </c>
      <c r="J853" s="617" t="s">
        <v>26</v>
      </c>
      <c r="K853" s="624"/>
      <c r="O853" s="616"/>
      <c r="P853" s="616"/>
      <c r="Q853" s="616"/>
      <c r="AA853" s="624"/>
      <c r="AB853" s="663">
        <v>39041011102</v>
      </c>
      <c r="AC853" s="663" t="s">
        <v>5785</v>
      </c>
      <c r="AD853" s="663" t="s">
        <v>4938</v>
      </c>
      <c r="AE853" s="663" t="s">
        <v>4939</v>
      </c>
      <c r="AF853" s="663" t="s">
        <v>4929</v>
      </c>
    </row>
    <row r="854" spans="1:32" s="608" customFormat="1" x14ac:dyDescent="0.25">
      <c r="A854" s="624"/>
      <c r="B854" s="617">
        <v>39039958700</v>
      </c>
      <c r="C854" s="617" t="s">
        <v>2522</v>
      </c>
      <c r="D854" s="617" t="s">
        <v>44</v>
      </c>
      <c r="E854" s="617" t="s">
        <v>1672</v>
      </c>
      <c r="F854" s="617" t="s">
        <v>26</v>
      </c>
      <c r="G854" s="624"/>
      <c r="H854" s="669">
        <v>43342</v>
      </c>
      <c r="I854" s="617" t="s">
        <v>1678</v>
      </c>
      <c r="J854" s="617" t="s">
        <v>26</v>
      </c>
      <c r="K854" s="624"/>
      <c r="O854" s="616"/>
      <c r="P854" s="616"/>
      <c r="Q854" s="616"/>
      <c r="AA854" s="624"/>
      <c r="AB854" s="663">
        <v>39041011200</v>
      </c>
      <c r="AC854" s="663" t="s">
        <v>5786</v>
      </c>
      <c r="AD854" s="663" t="s">
        <v>4938</v>
      </c>
      <c r="AE854" s="663" t="s">
        <v>4942</v>
      </c>
      <c r="AF854" s="663" t="s">
        <v>4929</v>
      </c>
    </row>
    <row r="855" spans="1:32" s="608" customFormat="1" x14ac:dyDescent="0.25">
      <c r="A855" s="624"/>
      <c r="B855" s="617">
        <v>39039958800</v>
      </c>
      <c r="C855" s="617" t="s">
        <v>2523</v>
      </c>
      <c r="D855" s="617" t="s">
        <v>44</v>
      </c>
      <c r="E855" s="617" t="s">
        <v>1672</v>
      </c>
      <c r="F855" s="617" t="s">
        <v>26</v>
      </c>
      <c r="G855" s="624"/>
      <c r="H855" s="669">
        <v>45169</v>
      </c>
      <c r="I855" s="617" t="s">
        <v>4870</v>
      </c>
      <c r="J855" s="617" t="s">
        <v>26</v>
      </c>
      <c r="K855" s="624"/>
      <c r="O855" s="616"/>
      <c r="P855" s="616"/>
      <c r="Q855" s="616"/>
      <c r="AA855" s="624"/>
      <c r="AB855" s="663">
        <v>39041011411</v>
      </c>
      <c r="AC855" s="663" t="s">
        <v>5787</v>
      </c>
      <c r="AD855" s="663" t="s">
        <v>4938</v>
      </c>
      <c r="AE855" s="663" t="s">
        <v>4942</v>
      </c>
      <c r="AF855" s="663" t="s">
        <v>4946</v>
      </c>
    </row>
    <row r="856" spans="1:32" s="608" customFormat="1" x14ac:dyDescent="0.25">
      <c r="A856" s="624"/>
      <c r="B856" s="617">
        <v>39039958900</v>
      </c>
      <c r="C856" s="617" t="s">
        <v>2524</v>
      </c>
      <c r="D856" s="617" t="s">
        <v>44</v>
      </c>
      <c r="E856" s="617" t="s">
        <v>1672</v>
      </c>
      <c r="F856" s="617" t="s">
        <v>26</v>
      </c>
      <c r="G856" s="624"/>
      <c r="H856" s="669">
        <v>43570</v>
      </c>
      <c r="I856" s="617" t="s">
        <v>4872</v>
      </c>
      <c r="J856" s="617" t="s">
        <v>26</v>
      </c>
      <c r="K856" s="624"/>
      <c r="O856" s="616"/>
      <c r="P856" s="616"/>
      <c r="Q856" s="616"/>
      <c r="AA856" s="624"/>
      <c r="AB856" s="663">
        <v>39041011412</v>
      </c>
      <c r="AC856" s="663" t="s">
        <v>5788</v>
      </c>
      <c r="AD856" s="663" t="s">
        <v>4938</v>
      </c>
      <c r="AE856" s="663" t="s">
        <v>4934</v>
      </c>
      <c r="AF856" s="663" t="s">
        <v>4946</v>
      </c>
    </row>
    <row r="857" spans="1:32" s="608" customFormat="1" x14ac:dyDescent="0.25">
      <c r="A857" s="624"/>
      <c r="B857" s="617">
        <v>39041010100</v>
      </c>
      <c r="C857" s="617" t="s">
        <v>2525</v>
      </c>
      <c r="D857" s="617" t="s">
        <v>45</v>
      </c>
      <c r="E857" s="617" t="s">
        <v>4854</v>
      </c>
      <c r="F857" s="617" t="s">
        <v>26</v>
      </c>
      <c r="G857" s="624"/>
      <c r="H857" s="669">
        <v>47011</v>
      </c>
      <c r="I857" s="617" t="s">
        <v>4867</v>
      </c>
      <c r="J857" s="617" t="s">
        <v>26</v>
      </c>
      <c r="K857" s="624"/>
      <c r="O857" s="616"/>
      <c r="P857" s="616"/>
      <c r="Q857" s="616"/>
      <c r="AA857" s="624"/>
      <c r="AB857" s="663">
        <v>39041011413</v>
      </c>
      <c r="AC857" s="663" t="s">
        <v>5789</v>
      </c>
      <c r="AD857" s="663" t="s">
        <v>4938</v>
      </c>
      <c r="AE857" s="663" t="s">
        <v>4931</v>
      </c>
      <c r="AF857" s="663" t="s">
        <v>4929</v>
      </c>
    </row>
    <row r="858" spans="1:32" s="608" customFormat="1" x14ac:dyDescent="0.25">
      <c r="A858" s="624"/>
      <c r="B858" s="617">
        <v>39041010200</v>
      </c>
      <c r="C858" s="617" t="s">
        <v>2526</v>
      </c>
      <c r="D858" s="617" t="s">
        <v>45</v>
      </c>
      <c r="E858" s="617" t="s">
        <v>4854</v>
      </c>
      <c r="F858" s="617" t="s">
        <v>26</v>
      </c>
      <c r="G858" s="624"/>
      <c r="H858" s="669">
        <v>47017</v>
      </c>
      <c r="I858" s="617" t="s">
        <v>4867</v>
      </c>
      <c r="J858" s="617" t="s">
        <v>26</v>
      </c>
      <c r="K858" s="624"/>
      <c r="O858" s="616"/>
      <c r="P858" s="616"/>
      <c r="Q858" s="616"/>
      <c r="AA858" s="624"/>
      <c r="AB858" s="663">
        <v>39041011421</v>
      </c>
      <c r="AC858" s="663" t="s">
        <v>5790</v>
      </c>
      <c r="AD858" s="663" t="s">
        <v>4938</v>
      </c>
      <c r="AE858" s="663" t="s">
        <v>4942</v>
      </c>
      <c r="AF858" s="663" t="s">
        <v>4946</v>
      </c>
    </row>
    <row r="859" spans="1:32" s="608" customFormat="1" x14ac:dyDescent="0.25">
      <c r="A859" s="624"/>
      <c r="B859" s="617">
        <v>39041010420</v>
      </c>
      <c r="C859" s="617" t="s">
        <v>2527</v>
      </c>
      <c r="D859" s="617" t="s">
        <v>45</v>
      </c>
      <c r="E859" s="617" t="s">
        <v>4854</v>
      </c>
      <c r="F859" s="617" t="s">
        <v>26</v>
      </c>
      <c r="G859" s="624"/>
      <c r="H859" s="669">
        <v>43433</v>
      </c>
      <c r="I859" s="617" t="s">
        <v>1676</v>
      </c>
      <c r="J859" s="617" t="s">
        <v>26</v>
      </c>
      <c r="K859" s="624"/>
      <c r="O859" s="616"/>
      <c r="P859" s="616"/>
      <c r="Q859" s="616"/>
      <c r="AA859" s="624"/>
      <c r="AB859" s="663">
        <v>39041011423</v>
      </c>
      <c r="AC859" s="663" t="s">
        <v>5791</v>
      </c>
      <c r="AD859" s="663" t="s">
        <v>4938</v>
      </c>
      <c r="AE859" s="663" t="s">
        <v>4931</v>
      </c>
      <c r="AF859" s="663" t="s">
        <v>4946</v>
      </c>
    </row>
    <row r="860" spans="1:32" s="608" customFormat="1" x14ac:dyDescent="0.25">
      <c r="A860" s="624"/>
      <c r="B860" s="617">
        <v>39041010421</v>
      </c>
      <c r="C860" s="617" t="s">
        <v>2528</v>
      </c>
      <c r="D860" s="617" t="s">
        <v>45</v>
      </c>
      <c r="E860" s="617" t="s">
        <v>4854</v>
      </c>
      <c r="F860" s="617" t="s">
        <v>26</v>
      </c>
      <c r="G860" s="624"/>
      <c r="H860" s="669">
        <v>45156</v>
      </c>
      <c r="I860" s="617" t="s">
        <v>4867</v>
      </c>
      <c r="J860" s="617" t="s">
        <v>26</v>
      </c>
      <c r="K860" s="624"/>
      <c r="O860" s="616"/>
      <c r="P860" s="616"/>
      <c r="Q860" s="616"/>
      <c r="AA860" s="624"/>
      <c r="AB860" s="663">
        <v>39041011430</v>
      </c>
      <c r="AC860" s="663" t="s">
        <v>5792</v>
      </c>
      <c r="AD860" s="663" t="s">
        <v>4938</v>
      </c>
      <c r="AE860" s="663" t="s">
        <v>4939</v>
      </c>
      <c r="AF860" s="663" t="s">
        <v>4946</v>
      </c>
    </row>
    <row r="861" spans="1:32" s="608" customFormat="1" x14ac:dyDescent="0.25">
      <c r="A861" s="624"/>
      <c r="B861" s="617">
        <v>39041010422</v>
      </c>
      <c r="C861" s="617" t="s">
        <v>2529</v>
      </c>
      <c r="D861" s="617" t="s">
        <v>45</v>
      </c>
      <c r="E861" s="617" t="s">
        <v>4854</v>
      </c>
      <c r="F861" s="617" t="s">
        <v>26</v>
      </c>
      <c r="G861" s="624"/>
      <c r="H861" s="669">
        <v>44041</v>
      </c>
      <c r="I861" s="617" t="s">
        <v>4869</v>
      </c>
      <c r="J861" s="617" t="s">
        <v>26</v>
      </c>
      <c r="K861" s="624"/>
      <c r="O861" s="616"/>
      <c r="P861" s="616"/>
      <c r="Q861" s="616"/>
      <c r="AA861" s="624"/>
      <c r="AB861" s="663">
        <v>39041011520</v>
      </c>
      <c r="AC861" s="663" t="s">
        <v>5793</v>
      </c>
      <c r="AD861" s="663" t="s">
        <v>4938</v>
      </c>
      <c r="AE861" s="663" t="s">
        <v>4931</v>
      </c>
      <c r="AF861" s="663" t="s">
        <v>4946</v>
      </c>
    </row>
    <row r="862" spans="1:32" s="608" customFormat="1" x14ac:dyDescent="0.25">
      <c r="A862" s="624"/>
      <c r="B862" s="617">
        <v>39041010520</v>
      </c>
      <c r="C862" s="617" t="s">
        <v>2530</v>
      </c>
      <c r="D862" s="617" t="s">
        <v>45</v>
      </c>
      <c r="E862" s="617" t="s">
        <v>4854</v>
      </c>
      <c r="F862" s="617" t="s">
        <v>26</v>
      </c>
      <c r="G862" s="624"/>
      <c r="H862" s="669">
        <v>41035</v>
      </c>
      <c r="I862" s="617" t="s">
        <v>4867</v>
      </c>
      <c r="J862" s="617" t="s">
        <v>26</v>
      </c>
      <c r="K862" s="624"/>
      <c r="O862" s="616"/>
      <c r="P862" s="616"/>
      <c r="Q862" s="616"/>
      <c r="AA862" s="624"/>
      <c r="AB862" s="663">
        <v>39041011530</v>
      </c>
      <c r="AC862" s="663" t="s">
        <v>5794</v>
      </c>
      <c r="AD862" s="663" t="s">
        <v>4938</v>
      </c>
      <c r="AE862" s="663" t="s">
        <v>4939</v>
      </c>
      <c r="AF862" s="663" t="s">
        <v>4946</v>
      </c>
    </row>
    <row r="863" spans="1:32" s="608" customFormat="1" x14ac:dyDescent="0.25">
      <c r="A863" s="624"/>
      <c r="B863" s="617">
        <v>39041010530</v>
      </c>
      <c r="C863" s="617" t="s">
        <v>2531</v>
      </c>
      <c r="D863" s="617" t="s">
        <v>45</v>
      </c>
      <c r="E863" s="617" t="s">
        <v>4854</v>
      </c>
      <c r="F863" s="617" t="s">
        <v>24</v>
      </c>
      <c r="G863" s="624"/>
      <c r="H863" s="669">
        <v>45368</v>
      </c>
      <c r="I863" s="617" t="s">
        <v>4870</v>
      </c>
      <c r="J863" s="617" t="s">
        <v>26</v>
      </c>
      <c r="K863" s="624"/>
      <c r="O863" s="616"/>
      <c r="P863" s="616"/>
      <c r="Q863" s="616"/>
      <c r="AA863" s="624"/>
      <c r="AB863" s="663">
        <v>39041011540</v>
      </c>
      <c r="AC863" s="663" t="s">
        <v>5795</v>
      </c>
      <c r="AD863" s="663" t="s">
        <v>4938</v>
      </c>
      <c r="AE863" s="663" t="s">
        <v>4942</v>
      </c>
      <c r="AF863" s="663" t="s">
        <v>4946</v>
      </c>
    </row>
    <row r="864" spans="1:32" s="608" customFormat="1" x14ac:dyDescent="0.25">
      <c r="A864" s="624"/>
      <c r="B864" s="617">
        <v>39041011101</v>
      </c>
      <c r="C864" s="617" t="s">
        <v>2532</v>
      </c>
      <c r="D864" s="617" t="s">
        <v>45</v>
      </c>
      <c r="E864" s="617" t="s">
        <v>4854</v>
      </c>
      <c r="F864" s="617" t="s">
        <v>26</v>
      </c>
      <c r="G864" s="624"/>
      <c r="H864" s="669">
        <v>45112</v>
      </c>
      <c r="I864" s="617" t="s">
        <v>4867</v>
      </c>
      <c r="J864" s="617" t="s">
        <v>26</v>
      </c>
      <c r="K864" s="624"/>
      <c r="O864" s="616"/>
      <c r="P864" s="616"/>
      <c r="Q864" s="616"/>
      <c r="AA864" s="624"/>
      <c r="AB864" s="663">
        <v>39041011550</v>
      </c>
      <c r="AC864" s="663" t="s">
        <v>5796</v>
      </c>
      <c r="AD864" s="663" t="s">
        <v>4938</v>
      </c>
      <c r="AE864" s="663" t="s">
        <v>4939</v>
      </c>
      <c r="AF864" s="663" t="s">
        <v>4946</v>
      </c>
    </row>
    <row r="865" spans="1:32" s="608" customFormat="1" x14ac:dyDescent="0.25">
      <c r="A865" s="624"/>
      <c r="B865" s="617">
        <v>39041011102</v>
      </c>
      <c r="C865" s="617" t="s">
        <v>2533</v>
      </c>
      <c r="D865" s="617" t="s">
        <v>45</v>
      </c>
      <c r="E865" s="617" t="s">
        <v>4854</v>
      </c>
      <c r="F865" s="617" t="s">
        <v>26</v>
      </c>
      <c r="G865" s="624"/>
      <c r="H865" s="669">
        <v>45121</v>
      </c>
      <c r="I865" s="617" t="s">
        <v>4867</v>
      </c>
      <c r="J865" s="617" t="s">
        <v>26</v>
      </c>
      <c r="K865" s="624"/>
      <c r="O865" s="616"/>
      <c r="P865" s="616"/>
      <c r="Q865" s="616"/>
      <c r="AA865" s="624"/>
      <c r="AB865" s="663">
        <v>39041011560</v>
      </c>
      <c r="AC865" s="663" t="s">
        <v>5797</v>
      </c>
      <c r="AD865" s="663" t="s">
        <v>4938</v>
      </c>
      <c r="AE865" s="663" t="s">
        <v>4942</v>
      </c>
      <c r="AF865" s="663" t="s">
        <v>4929</v>
      </c>
    </row>
    <row r="866" spans="1:32" s="608" customFormat="1" x14ac:dyDescent="0.25">
      <c r="A866" s="624"/>
      <c r="B866" s="617">
        <v>39041011200</v>
      </c>
      <c r="C866" s="617" t="s">
        <v>2534</v>
      </c>
      <c r="D866" s="617" t="s">
        <v>45</v>
      </c>
      <c r="E866" s="617" t="s">
        <v>4854</v>
      </c>
      <c r="F866" s="617" t="s">
        <v>26</v>
      </c>
      <c r="G866" s="624"/>
      <c r="H866" s="669">
        <v>41064</v>
      </c>
      <c r="I866" s="617" t="s">
        <v>4867</v>
      </c>
      <c r="J866" s="617" t="s">
        <v>26</v>
      </c>
      <c r="K866" s="624"/>
      <c r="O866" s="616"/>
      <c r="P866" s="616"/>
      <c r="Q866" s="616"/>
      <c r="AA866" s="624"/>
      <c r="AB866" s="663">
        <v>39041011561</v>
      </c>
      <c r="AC866" s="663" t="s">
        <v>5798</v>
      </c>
      <c r="AD866" s="663" t="s">
        <v>4941</v>
      </c>
      <c r="AE866" s="663" t="s">
        <v>4942</v>
      </c>
      <c r="AF866" s="663" t="s">
        <v>4946</v>
      </c>
    </row>
    <row r="867" spans="1:32" s="608" customFormat="1" x14ac:dyDescent="0.25">
      <c r="A867" s="624"/>
      <c r="B867" s="617">
        <v>39041011411</v>
      </c>
      <c r="C867" s="617" t="s">
        <v>2535</v>
      </c>
      <c r="D867" s="617" t="s">
        <v>45</v>
      </c>
      <c r="E867" s="617" t="s">
        <v>4854</v>
      </c>
      <c r="F867" s="617" t="s">
        <v>26</v>
      </c>
      <c r="G867" s="624"/>
      <c r="H867" s="669">
        <v>43302</v>
      </c>
      <c r="I867" s="617" t="s">
        <v>1678</v>
      </c>
      <c r="J867" s="617" t="s">
        <v>26</v>
      </c>
      <c r="K867" s="624"/>
      <c r="O867" s="616"/>
      <c r="P867" s="616"/>
      <c r="Q867" s="616"/>
      <c r="AA867" s="624"/>
      <c r="AB867" s="663">
        <v>39041011604</v>
      </c>
      <c r="AC867" s="663" t="s">
        <v>5799</v>
      </c>
      <c r="AD867" s="663" t="s">
        <v>4938</v>
      </c>
      <c r="AE867" s="663" t="s">
        <v>4931</v>
      </c>
      <c r="AF867" s="663" t="s">
        <v>4929</v>
      </c>
    </row>
    <row r="868" spans="1:32" s="608" customFormat="1" x14ac:dyDescent="0.25">
      <c r="A868" s="624"/>
      <c r="B868" s="617">
        <v>39041011412</v>
      </c>
      <c r="C868" s="617" t="s">
        <v>2536</v>
      </c>
      <c r="D868" s="617" t="s">
        <v>45</v>
      </c>
      <c r="E868" s="617" t="s">
        <v>4854</v>
      </c>
      <c r="F868" s="617" t="s">
        <v>26</v>
      </c>
      <c r="G868" s="624"/>
      <c r="H868" s="624"/>
      <c r="I868" s="624"/>
      <c r="J868" s="624"/>
      <c r="K868" s="624"/>
      <c r="O868" s="616"/>
      <c r="P868" s="616"/>
      <c r="Q868" s="616"/>
      <c r="AA868" s="624"/>
      <c r="AB868" s="663">
        <v>39041011710</v>
      </c>
      <c r="AC868" s="663" t="s">
        <v>5800</v>
      </c>
      <c r="AD868" s="663" t="s">
        <v>4938</v>
      </c>
      <c r="AE868" s="663" t="s">
        <v>4928</v>
      </c>
      <c r="AF868" s="663" t="s">
        <v>4946</v>
      </c>
    </row>
    <row r="869" spans="1:32" s="608" customFormat="1" x14ac:dyDescent="0.25">
      <c r="A869" s="624"/>
      <c r="B869" s="617">
        <v>39041011421</v>
      </c>
      <c r="C869" s="617" t="s">
        <v>2537</v>
      </c>
      <c r="D869" s="617" t="s">
        <v>45</v>
      </c>
      <c r="E869" s="617" t="s">
        <v>4854</v>
      </c>
      <c r="F869" s="617" t="s">
        <v>26</v>
      </c>
      <c r="G869" s="624"/>
      <c r="O869" s="616"/>
      <c r="P869" s="616"/>
      <c r="Q869" s="616"/>
      <c r="AA869" s="624"/>
      <c r="AB869" s="663">
        <v>39041011730</v>
      </c>
      <c r="AC869" s="663" t="s">
        <v>5801</v>
      </c>
      <c r="AD869" s="663" t="s">
        <v>4938</v>
      </c>
      <c r="AE869" s="663" t="s">
        <v>4934</v>
      </c>
      <c r="AF869" s="663" t="s">
        <v>4946</v>
      </c>
    </row>
    <row r="870" spans="1:32" s="608" customFormat="1" x14ac:dyDescent="0.25">
      <c r="A870" s="624"/>
      <c r="B870" s="617">
        <v>39041011423</v>
      </c>
      <c r="C870" s="617" t="s">
        <v>2538</v>
      </c>
      <c r="D870" s="617" t="s">
        <v>45</v>
      </c>
      <c r="E870" s="617" t="s">
        <v>4854</v>
      </c>
      <c r="F870" s="617" t="s">
        <v>26</v>
      </c>
      <c r="G870" s="624"/>
      <c r="O870" s="616"/>
      <c r="P870" s="616"/>
      <c r="Q870" s="616"/>
      <c r="AA870" s="624"/>
      <c r="AB870" s="663">
        <v>39041011740</v>
      </c>
      <c r="AC870" s="663" t="s">
        <v>5802</v>
      </c>
      <c r="AD870" s="663" t="s">
        <v>4938</v>
      </c>
      <c r="AE870" s="663" t="s">
        <v>4934</v>
      </c>
      <c r="AF870" s="663" t="s">
        <v>4946</v>
      </c>
    </row>
    <row r="871" spans="1:32" s="608" customFormat="1" x14ac:dyDescent="0.25">
      <c r="A871" s="624"/>
      <c r="B871" s="617">
        <v>39041011430</v>
      </c>
      <c r="C871" s="617" t="s">
        <v>2539</v>
      </c>
      <c r="D871" s="617" t="s">
        <v>45</v>
      </c>
      <c r="E871" s="617" t="s">
        <v>4854</v>
      </c>
      <c r="F871" s="617" t="s">
        <v>26</v>
      </c>
      <c r="G871" s="624"/>
      <c r="O871" s="616"/>
      <c r="P871" s="616"/>
      <c r="Q871" s="616"/>
      <c r="AA871" s="624"/>
      <c r="AB871" s="663">
        <v>39041011750</v>
      </c>
      <c r="AC871" s="663" t="s">
        <v>5803</v>
      </c>
      <c r="AD871" s="663" t="s">
        <v>4938</v>
      </c>
      <c r="AE871" s="663" t="s">
        <v>4942</v>
      </c>
      <c r="AF871" s="663" t="s">
        <v>4929</v>
      </c>
    </row>
    <row r="872" spans="1:32" s="608" customFormat="1" x14ac:dyDescent="0.25">
      <c r="A872" s="624"/>
      <c r="B872" s="617">
        <v>39041011431</v>
      </c>
      <c r="C872" s="617" t="s">
        <v>2540</v>
      </c>
      <c r="D872" s="617" t="s">
        <v>45</v>
      </c>
      <c r="E872" s="617" t="s">
        <v>4854</v>
      </c>
      <c r="F872" s="617" t="s">
        <v>26</v>
      </c>
      <c r="G872" s="624"/>
      <c r="O872" s="616"/>
      <c r="P872" s="616"/>
      <c r="Q872" s="616"/>
      <c r="AA872" s="624"/>
      <c r="AB872" s="663">
        <v>39041011760</v>
      </c>
      <c r="AC872" s="663" t="s">
        <v>5804</v>
      </c>
      <c r="AD872" s="663" t="s">
        <v>4938</v>
      </c>
      <c r="AE872" s="663" t="s">
        <v>4939</v>
      </c>
      <c r="AF872" s="663" t="s">
        <v>4929</v>
      </c>
    </row>
    <row r="873" spans="1:32" s="608" customFormat="1" x14ac:dyDescent="0.25">
      <c r="A873" s="624"/>
      <c r="B873" s="617">
        <v>39041011432</v>
      </c>
      <c r="C873" s="617" t="s">
        <v>2541</v>
      </c>
      <c r="D873" s="617" t="s">
        <v>45</v>
      </c>
      <c r="E873" s="617" t="s">
        <v>4854</v>
      </c>
      <c r="F873" s="617" t="s">
        <v>26</v>
      </c>
      <c r="G873" s="624"/>
      <c r="O873" s="616"/>
      <c r="P873" s="616"/>
      <c r="Q873" s="616"/>
      <c r="AA873" s="624"/>
      <c r="AB873" s="663">
        <v>39041011762</v>
      </c>
      <c r="AC873" s="663" t="s">
        <v>5805</v>
      </c>
      <c r="AD873" s="663" t="s">
        <v>4938</v>
      </c>
      <c r="AE873" s="663" t="s">
        <v>4942</v>
      </c>
      <c r="AF873" s="663" t="s">
        <v>4946</v>
      </c>
    </row>
    <row r="874" spans="1:32" s="608" customFormat="1" x14ac:dyDescent="0.25">
      <c r="A874" s="624"/>
      <c r="B874" s="617">
        <v>39041011520</v>
      </c>
      <c r="C874" s="617" t="s">
        <v>2542</v>
      </c>
      <c r="D874" s="617" t="s">
        <v>45</v>
      </c>
      <c r="E874" s="617" t="s">
        <v>4854</v>
      </c>
      <c r="F874" s="617" t="s">
        <v>26</v>
      </c>
      <c r="G874" s="624"/>
      <c r="O874" s="616"/>
      <c r="P874" s="616"/>
      <c r="Q874" s="616"/>
      <c r="AA874" s="624"/>
      <c r="AB874" s="663">
        <v>39041011900</v>
      </c>
      <c r="AC874" s="663" t="s">
        <v>5806</v>
      </c>
      <c r="AD874" s="663" t="s">
        <v>4938</v>
      </c>
      <c r="AE874" s="663" t="s">
        <v>4939</v>
      </c>
      <c r="AF874" s="663" t="s">
        <v>4946</v>
      </c>
    </row>
    <row r="875" spans="1:32" s="608" customFormat="1" x14ac:dyDescent="0.25">
      <c r="A875" s="624"/>
      <c r="B875" s="617">
        <v>39041011530</v>
      </c>
      <c r="C875" s="617" t="s">
        <v>2543</v>
      </c>
      <c r="D875" s="617" t="s">
        <v>45</v>
      </c>
      <c r="E875" s="617" t="s">
        <v>4854</v>
      </c>
      <c r="F875" s="617" t="s">
        <v>26</v>
      </c>
      <c r="G875" s="624"/>
      <c r="O875" s="616"/>
      <c r="P875" s="616"/>
      <c r="Q875" s="616"/>
      <c r="AA875" s="624"/>
      <c r="AB875" s="663">
        <v>39041012000</v>
      </c>
      <c r="AC875" s="663" t="s">
        <v>5807</v>
      </c>
      <c r="AD875" s="663" t="s">
        <v>4938</v>
      </c>
      <c r="AE875" s="663" t="s">
        <v>4939</v>
      </c>
      <c r="AF875" s="663" t="s">
        <v>4929</v>
      </c>
    </row>
    <row r="876" spans="1:32" s="608" customFormat="1" x14ac:dyDescent="0.25">
      <c r="A876" s="624"/>
      <c r="B876" s="617">
        <v>39041011540</v>
      </c>
      <c r="C876" s="617" t="s">
        <v>2544</v>
      </c>
      <c r="D876" s="617" t="s">
        <v>45</v>
      </c>
      <c r="E876" s="617" t="s">
        <v>4854</v>
      </c>
      <c r="F876" s="617" t="s">
        <v>26</v>
      </c>
      <c r="G876" s="624"/>
      <c r="O876" s="616"/>
      <c r="P876" s="616"/>
      <c r="Q876" s="616"/>
      <c r="AA876" s="624"/>
      <c r="AB876" s="663">
        <v>39041012100</v>
      </c>
      <c r="AC876" s="663" t="s">
        <v>5808</v>
      </c>
      <c r="AD876" s="663" t="s">
        <v>4938</v>
      </c>
      <c r="AE876" s="663" t="s">
        <v>4942</v>
      </c>
      <c r="AF876" s="663" t="s">
        <v>4929</v>
      </c>
    </row>
    <row r="877" spans="1:32" s="608" customFormat="1" x14ac:dyDescent="0.25">
      <c r="A877" s="624"/>
      <c r="B877" s="617">
        <v>39041011561</v>
      </c>
      <c r="C877" s="617" t="s">
        <v>2545</v>
      </c>
      <c r="D877" s="617" t="s">
        <v>45</v>
      </c>
      <c r="E877" s="617" t="s">
        <v>4854</v>
      </c>
      <c r="F877" s="617" t="s">
        <v>26</v>
      </c>
      <c r="G877" s="624"/>
      <c r="O877" s="616"/>
      <c r="P877" s="616"/>
      <c r="Q877" s="616"/>
      <c r="AA877" s="624"/>
      <c r="AB877" s="663">
        <v>39041012200</v>
      </c>
      <c r="AC877" s="663" t="s">
        <v>5809</v>
      </c>
      <c r="AD877" s="663" t="s">
        <v>4938</v>
      </c>
      <c r="AE877" s="663" t="s">
        <v>4934</v>
      </c>
      <c r="AF877" s="663" t="s">
        <v>4929</v>
      </c>
    </row>
    <row r="878" spans="1:32" s="608" customFormat="1" x14ac:dyDescent="0.25">
      <c r="A878" s="624"/>
      <c r="B878" s="617">
        <v>39041011562</v>
      </c>
      <c r="C878" s="617" t="s">
        <v>2546</v>
      </c>
      <c r="D878" s="617" t="s">
        <v>45</v>
      </c>
      <c r="E878" s="617" t="s">
        <v>4854</v>
      </c>
      <c r="F878" s="617" t="s">
        <v>26</v>
      </c>
      <c r="G878" s="624"/>
      <c r="O878" s="616"/>
      <c r="P878" s="616"/>
      <c r="Q878" s="616"/>
      <c r="AA878" s="624"/>
      <c r="AB878" s="663">
        <v>39041012300</v>
      </c>
      <c r="AC878" s="663" t="s">
        <v>5810</v>
      </c>
      <c r="AD878" s="663" t="s">
        <v>4938</v>
      </c>
      <c r="AE878" s="663" t="s">
        <v>4934</v>
      </c>
      <c r="AF878" s="663" t="s">
        <v>4929</v>
      </c>
    </row>
    <row r="879" spans="1:32" s="608" customFormat="1" x14ac:dyDescent="0.25">
      <c r="A879" s="624"/>
      <c r="B879" s="617">
        <v>39041011563</v>
      </c>
      <c r="C879" s="617" t="s">
        <v>2547</v>
      </c>
      <c r="D879" s="617" t="s">
        <v>45</v>
      </c>
      <c r="E879" s="617" t="s">
        <v>4854</v>
      </c>
      <c r="F879" s="617" t="s">
        <v>26</v>
      </c>
      <c r="G879" s="624"/>
      <c r="O879" s="616"/>
      <c r="P879" s="616"/>
      <c r="Q879" s="616"/>
      <c r="AA879" s="624"/>
      <c r="AB879" s="663">
        <v>39041012400</v>
      </c>
      <c r="AC879" s="663" t="s">
        <v>5811</v>
      </c>
      <c r="AD879" s="663" t="s">
        <v>4938</v>
      </c>
      <c r="AE879" s="663" t="s">
        <v>4934</v>
      </c>
      <c r="AF879" s="663" t="s">
        <v>4946</v>
      </c>
    </row>
    <row r="880" spans="1:32" s="608" customFormat="1" x14ac:dyDescent="0.25">
      <c r="A880" s="624"/>
      <c r="B880" s="617">
        <v>39041011564</v>
      </c>
      <c r="C880" s="617" t="s">
        <v>2548</v>
      </c>
      <c r="D880" s="617" t="s">
        <v>45</v>
      </c>
      <c r="E880" s="617" t="s">
        <v>4854</v>
      </c>
      <c r="F880" s="617" t="s">
        <v>26</v>
      </c>
      <c r="G880" s="624"/>
      <c r="O880" s="616"/>
      <c r="P880" s="616"/>
      <c r="Q880" s="616"/>
      <c r="AA880" s="624"/>
      <c r="AB880" s="663">
        <v>39043040100</v>
      </c>
      <c r="AC880" s="663" t="s">
        <v>5812</v>
      </c>
      <c r="AD880" s="663" t="s">
        <v>4950</v>
      </c>
      <c r="AE880" s="663" t="s">
        <v>4939</v>
      </c>
      <c r="AF880" s="663" t="s">
        <v>4946</v>
      </c>
    </row>
    <row r="881" spans="1:32" s="608" customFormat="1" x14ac:dyDescent="0.25">
      <c r="A881" s="624"/>
      <c r="B881" s="617">
        <v>39041011565</v>
      </c>
      <c r="C881" s="617" t="s">
        <v>2549</v>
      </c>
      <c r="D881" s="617" t="s">
        <v>45</v>
      </c>
      <c r="E881" s="617" t="s">
        <v>4854</v>
      </c>
      <c r="F881" s="617" t="s">
        <v>26</v>
      </c>
      <c r="G881" s="624"/>
      <c r="O881" s="616"/>
      <c r="P881" s="616"/>
      <c r="Q881" s="616"/>
      <c r="AA881" s="624"/>
      <c r="AB881" s="663">
        <v>39043040200</v>
      </c>
      <c r="AC881" s="663" t="s">
        <v>5813</v>
      </c>
      <c r="AD881" s="663" t="s">
        <v>4941</v>
      </c>
      <c r="AE881" s="663" t="s">
        <v>4931</v>
      </c>
      <c r="AF881" s="663" t="s">
        <v>4929</v>
      </c>
    </row>
    <row r="882" spans="1:32" s="608" customFormat="1" x14ac:dyDescent="0.25">
      <c r="A882" s="624"/>
      <c r="B882" s="617">
        <v>39041011604</v>
      </c>
      <c r="C882" s="617" t="s">
        <v>2550</v>
      </c>
      <c r="D882" s="617" t="s">
        <v>45</v>
      </c>
      <c r="E882" s="617" t="s">
        <v>4854</v>
      </c>
      <c r="F882" s="617" t="s">
        <v>26</v>
      </c>
      <c r="G882" s="624"/>
      <c r="O882" s="616"/>
      <c r="P882" s="616"/>
      <c r="Q882" s="616"/>
      <c r="AA882" s="624"/>
      <c r="AB882" s="663">
        <v>39043040300</v>
      </c>
      <c r="AC882" s="663" t="s">
        <v>5814</v>
      </c>
      <c r="AD882" s="663" t="s">
        <v>4941</v>
      </c>
      <c r="AE882" s="663" t="s">
        <v>4928</v>
      </c>
      <c r="AF882" s="663" t="s">
        <v>4929</v>
      </c>
    </row>
    <row r="883" spans="1:32" s="608" customFormat="1" x14ac:dyDescent="0.25">
      <c r="A883" s="624"/>
      <c r="B883" s="617">
        <v>39041011710</v>
      </c>
      <c r="C883" s="617" t="s">
        <v>2551</v>
      </c>
      <c r="D883" s="617" t="s">
        <v>45</v>
      </c>
      <c r="E883" s="617" t="s">
        <v>4854</v>
      </c>
      <c r="F883" s="617" t="s">
        <v>26</v>
      </c>
      <c r="G883" s="624"/>
      <c r="O883" s="616"/>
      <c r="P883" s="616"/>
      <c r="Q883" s="616"/>
      <c r="AA883" s="624"/>
      <c r="AB883" s="663">
        <v>39043040400</v>
      </c>
      <c r="AC883" s="663" t="s">
        <v>5815</v>
      </c>
      <c r="AD883" s="663" t="s">
        <v>4938</v>
      </c>
      <c r="AE883" s="663" t="s">
        <v>4928</v>
      </c>
      <c r="AF883" s="663" t="s">
        <v>4929</v>
      </c>
    </row>
    <row r="884" spans="1:32" s="608" customFormat="1" x14ac:dyDescent="0.25">
      <c r="A884" s="624"/>
      <c r="B884" s="617">
        <v>39041011740</v>
      </c>
      <c r="C884" s="617" t="s">
        <v>2552</v>
      </c>
      <c r="D884" s="617" t="s">
        <v>45</v>
      </c>
      <c r="E884" s="617" t="s">
        <v>4854</v>
      </c>
      <c r="F884" s="617" t="s">
        <v>26</v>
      </c>
      <c r="G884" s="624"/>
      <c r="O884" s="616"/>
      <c r="P884" s="616"/>
      <c r="Q884" s="616"/>
      <c r="AA884" s="624"/>
      <c r="AB884" s="663">
        <v>39043040500</v>
      </c>
      <c r="AC884" s="663" t="s">
        <v>5816</v>
      </c>
      <c r="AD884" s="663" t="s">
        <v>4941</v>
      </c>
      <c r="AE884" s="663" t="s">
        <v>4931</v>
      </c>
      <c r="AF884" s="663" t="s">
        <v>4929</v>
      </c>
    </row>
    <row r="885" spans="1:32" s="608" customFormat="1" x14ac:dyDescent="0.25">
      <c r="A885" s="624"/>
      <c r="B885" s="617">
        <v>39041011760</v>
      </c>
      <c r="C885" s="617" t="s">
        <v>2553</v>
      </c>
      <c r="D885" s="617" t="s">
        <v>45</v>
      </c>
      <c r="E885" s="617" t="s">
        <v>4854</v>
      </c>
      <c r="F885" s="617" t="s">
        <v>26</v>
      </c>
      <c r="G885" s="624"/>
      <c r="O885" s="616"/>
      <c r="P885" s="616"/>
      <c r="Q885" s="616"/>
      <c r="AA885" s="624"/>
      <c r="AB885" s="663">
        <v>39043040600</v>
      </c>
      <c r="AC885" s="663" t="s">
        <v>5817</v>
      </c>
      <c r="AD885" s="663" t="s">
        <v>4938</v>
      </c>
      <c r="AE885" s="663" t="s">
        <v>4928</v>
      </c>
      <c r="AF885" s="663" t="s">
        <v>4929</v>
      </c>
    </row>
    <row r="886" spans="1:32" s="608" customFormat="1" x14ac:dyDescent="0.25">
      <c r="A886" s="624"/>
      <c r="B886" s="617">
        <v>39041011762</v>
      </c>
      <c r="C886" s="617" t="s">
        <v>2554</v>
      </c>
      <c r="D886" s="617" t="s">
        <v>45</v>
      </c>
      <c r="E886" s="617" t="s">
        <v>4854</v>
      </c>
      <c r="F886" s="617" t="s">
        <v>26</v>
      </c>
      <c r="G886" s="624"/>
      <c r="O886" s="616"/>
      <c r="P886" s="616"/>
      <c r="Q886" s="616"/>
      <c r="AA886" s="624"/>
      <c r="AB886" s="663">
        <v>39043040700</v>
      </c>
      <c r="AC886" s="663" t="s">
        <v>5818</v>
      </c>
      <c r="AD886" s="663" t="s">
        <v>4950</v>
      </c>
      <c r="AE886" s="663" t="s">
        <v>4931</v>
      </c>
      <c r="AF886" s="663" t="s">
        <v>4983</v>
      </c>
    </row>
    <row r="887" spans="1:32" s="608" customFormat="1" x14ac:dyDescent="0.25">
      <c r="A887" s="624"/>
      <c r="B887" s="617">
        <v>39041011763</v>
      </c>
      <c r="C887" s="617" t="s">
        <v>2555</v>
      </c>
      <c r="D887" s="617" t="s">
        <v>45</v>
      </c>
      <c r="E887" s="617" t="s">
        <v>4854</v>
      </c>
      <c r="F887" s="617" t="s">
        <v>26</v>
      </c>
      <c r="G887" s="624"/>
      <c r="O887" s="616"/>
      <c r="P887" s="616"/>
      <c r="Q887" s="616"/>
      <c r="AA887" s="624"/>
      <c r="AB887" s="663">
        <v>39043040800</v>
      </c>
      <c r="AC887" s="663" t="s">
        <v>5819</v>
      </c>
      <c r="AD887" s="663" t="s">
        <v>4927</v>
      </c>
      <c r="AE887" s="663" t="s">
        <v>4942</v>
      </c>
      <c r="AF887" s="663" t="s">
        <v>4983</v>
      </c>
    </row>
    <row r="888" spans="1:32" s="608" customFormat="1" x14ac:dyDescent="0.25">
      <c r="A888" s="624"/>
      <c r="B888" s="617">
        <v>39041011764</v>
      </c>
      <c r="C888" s="617" t="s">
        <v>2556</v>
      </c>
      <c r="D888" s="617" t="s">
        <v>45</v>
      </c>
      <c r="E888" s="617" t="s">
        <v>4854</v>
      </c>
      <c r="F888" s="617" t="s">
        <v>26</v>
      </c>
      <c r="G888" s="624"/>
      <c r="O888" s="616"/>
      <c r="P888" s="616"/>
      <c r="Q888" s="616"/>
      <c r="AA888" s="624"/>
      <c r="AB888" s="663">
        <v>39043040900</v>
      </c>
      <c r="AC888" s="663" t="s">
        <v>5820</v>
      </c>
      <c r="AD888" s="663" t="s">
        <v>4948</v>
      </c>
      <c r="AE888" s="663" t="s">
        <v>4942</v>
      </c>
      <c r="AF888" s="663" t="s">
        <v>4929</v>
      </c>
    </row>
    <row r="889" spans="1:32" s="608" customFormat="1" x14ac:dyDescent="0.25">
      <c r="A889" s="624"/>
      <c r="B889" s="617">
        <v>39041011765</v>
      </c>
      <c r="C889" s="617" t="s">
        <v>2557</v>
      </c>
      <c r="D889" s="617" t="s">
        <v>45</v>
      </c>
      <c r="E889" s="617" t="s">
        <v>4854</v>
      </c>
      <c r="F889" s="617" t="s">
        <v>26</v>
      </c>
      <c r="G889" s="624"/>
      <c r="O889" s="616"/>
      <c r="P889" s="616"/>
      <c r="Q889" s="616"/>
      <c r="AA889" s="624"/>
      <c r="AB889" s="663">
        <v>39043041000</v>
      </c>
      <c r="AC889" s="663" t="s">
        <v>5821</v>
      </c>
      <c r="AD889" s="663" t="s">
        <v>4927</v>
      </c>
      <c r="AE889" s="663" t="s">
        <v>4928</v>
      </c>
      <c r="AF889" s="663" t="s">
        <v>4983</v>
      </c>
    </row>
    <row r="890" spans="1:32" s="608" customFormat="1" x14ac:dyDescent="0.25">
      <c r="A890" s="624"/>
      <c r="B890" s="617">
        <v>39041011766</v>
      </c>
      <c r="C890" s="617" t="s">
        <v>2558</v>
      </c>
      <c r="D890" s="617" t="s">
        <v>45</v>
      </c>
      <c r="E890" s="617" t="s">
        <v>4854</v>
      </c>
      <c r="F890" s="617" t="s">
        <v>26</v>
      </c>
      <c r="G890" s="624"/>
      <c r="O890" s="616"/>
      <c r="P890" s="616"/>
      <c r="Q890" s="616"/>
      <c r="AA890" s="624"/>
      <c r="AB890" s="663">
        <v>39043041100</v>
      </c>
      <c r="AC890" s="663" t="s">
        <v>5822</v>
      </c>
      <c r="AD890" s="663" t="s">
        <v>4950</v>
      </c>
      <c r="AE890" s="663" t="s">
        <v>4931</v>
      </c>
      <c r="AF890" s="663" t="s">
        <v>4983</v>
      </c>
    </row>
    <row r="891" spans="1:32" s="608" customFormat="1" x14ac:dyDescent="0.25">
      <c r="A891" s="624"/>
      <c r="B891" s="617">
        <v>39041011900</v>
      </c>
      <c r="C891" s="617" t="s">
        <v>2559</v>
      </c>
      <c r="D891" s="617" t="s">
        <v>45</v>
      </c>
      <c r="E891" s="617" t="s">
        <v>4854</v>
      </c>
      <c r="F891" s="617" t="s">
        <v>26</v>
      </c>
      <c r="G891" s="624"/>
      <c r="O891" s="616"/>
      <c r="P891" s="616"/>
      <c r="Q891" s="616"/>
      <c r="AA891" s="624"/>
      <c r="AB891" s="663">
        <v>39043041200</v>
      </c>
      <c r="AC891" s="663" t="s">
        <v>5823</v>
      </c>
      <c r="AD891" s="663" t="s">
        <v>4927</v>
      </c>
      <c r="AE891" s="663" t="s">
        <v>4942</v>
      </c>
      <c r="AF891" s="663" t="s">
        <v>4983</v>
      </c>
    </row>
    <row r="892" spans="1:32" s="608" customFormat="1" x14ac:dyDescent="0.25">
      <c r="A892" s="624"/>
      <c r="B892" s="617">
        <v>39041012000</v>
      </c>
      <c r="C892" s="617" t="s">
        <v>2560</v>
      </c>
      <c r="D892" s="617" t="s">
        <v>45</v>
      </c>
      <c r="E892" s="617" t="s">
        <v>4854</v>
      </c>
      <c r="F892" s="617" t="s">
        <v>26</v>
      </c>
      <c r="G892" s="624"/>
      <c r="O892" s="616"/>
      <c r="P892" s="616"/>
      <c r="Q892" s="616"/>
      <c r="AA892" s="624"/>
      <c r="AB892" s="663">
        <v>39043041300</v>
      </c>
      <c r="AC892" s="663" t="s">
        <v>5824</v>
      </c>
      <c r="AD892" s="663" t="s">
        <v>4950</v>
      </c>
      <c r="AE892" s="663" t="s">
        <v>4928</v>
      </c>
      <c r="AF892" s="663" t="s">
        <v>4983</v>
      </c>
    </row>
    <row r="893" spans="1:32" s="608" customFormat="1" x14ac:dyDescent="0.25">
      <c r="A893" s="624"/>
      <c r="B893" s="617">
        <v>39041012100</v>
      </c>
      <c r="C893" s="617" t="s">
        <v>2561</v>
      </c>
      <c r="D893" s="617" t="s">
        <v>45</v>
      </c>
      <c r="E893" s="617" t="s">
        <v>4854</v>
      </c>
      <c r="F893" s="617" t="s">
        <v>26</v>
      </c>
      <c r="G893" s="624"/>
      <c r="O893" s="616"/>
      <c r="P893" s="616"/>
      <c r="Q893" s="616"/>
      <c r="AA893" s="624"/>
      <c r="AB893" s="663">
        <v>39043041400</v>
      </c>
      <c r="AC893" s="663" t="s">
        <v>5825</v>
      </c>
      <c r="AD893" s="663" t="s">
        <v>4938</v>
      </c>
      <c r="AE893" s="663" t="s">
        <v>4939</v>
      </c>
      <c r="AF893" s="663" t="s">
        <v>4929</v>
      </c>
    </row>
    <row r="894" spans="1:32" s="608" customFormat="1" x14ac:dyDescent="0.25">
      <c r="A894" s="624"/>
      <c r="B894" s="617">
        <v>39041012200</v>
      </c>
      <c r="C894" s="617" t="s">
        <v>2562</v>
      </c>
      <c r="D894" s="617" t="s">
        <v>45</v>
      </c>
      <c r="E894" s="617" t="s">
        <v>4854</v>
      </c>
      <c r="F894" s="617" t="s">
        <v>26</v>
      </c>
      <c r="G894" s="624"/>
      <c r="O894" s="616"/>
      <c r="P894" s="616"/>
      <c r="Q894" s="616"/>
      <c r="AA894" s="624"/>
      <c r="AB894" s="663">
        <v>39043041500</v>
      </c>
      <c r="AC894" s="663" t="s">
        <v>5826</v>
      </c>
      <c r="AD894" s="663" t="s">
        <v>4938</v>
      </c>
      <c r="AE894" s="663" t="s">
        <v>4934</v>
      </c>
      <c r="AF894" s="663" t="s">
        <v>4929</v>
      </c>
    </row>
    <row r="895" spans="1:32" s="608" customFormat="1" x14ac:dyDescent="0.25">
      <c r="A895" s="624"/>
      <c r="B895" s="617">
        <v>39041012300</v>
      </c>
      <c r="C895" s="617" t="s">
        <v>2563</v>
      </c>
      <c r="D895" s="617" t="s">
        <v>45</v>
      </c>
      <c r="E895" s="617" t="s">
        <v>4854</v>
      </c>
      <c r="F895" s="617" t="s">
        <v>26</v>
      </c>
      <c r="G895" s="624"/>
      <c r="O895" s="616"/>
      <c r="P895" s="616"/>
      <c r="Q895" s="616"/>
      <c r="AA895" s="624"/>
      <c r="AB895" s="663">
        <v>39043041600</v>
      </c>
      <c r="AC895" s="663" t="s">
        <v>5827</v>
      </c>
      <c r="AD895" s="663" t="s">
        <v>4938</v>
      </c>
      <c r="AE895" s="663" t="s">
        <v>4928</v>
      </c>
      <c r="AF895" s="663" t="s">
        <v>4929</v>
      </c>
    </row>
    <row r="896" spans="1:32" s="608" customFormat="1" x14ac:dyDescent="0.25">
      <c r="A896" s="624"/>
      <c r="B896" s="617">
        <v>39041012400</v>
      </c>
      <c r="C896" s="617" t="s">
        <v>2564</v>
      </c>
      <c r="D896" s="617" t="s">
        <v>45</v>
      </c>
      <c r="E896" s="617" t="s">
        <v>4854</v>
      </c>
      <c r="F896" s="617" t="s">
        <v>26</v>
      </c>
      <c r="G896" s="624"/>
      <c r="O896" s="616"/>
      <c r="P896" s="616"/>
      <c r="Q896" s="616"/>
      <c r="AA896" s="624"/>
      <c r="AB896" s="663">
        <v>39043041700</v>
      </c>
      <c r="AC896" s="663" t="s">
        <v>5828</v>
      </c>
      <c r="AD896" s="663" t="s">
        <v>4941</v>
      </c>
      <c r="AE896" s="663" t="s">
        <v>4934</v>
      </c>
      <c r="AF896" s="663" t="s">
        <v>4929</v>
      </c>
    </row>
    <row r="897" spans="1:32" s="608" customFormat="1" x14ac:dyDescent="0.25">
      <c r="A897" s="624"/>
      <c r="B897" s="617">
        <v>39043040100</v>
      </c>
      <c r="C897" s="617" t="s">
        <v>2565</v>
      </c>
      <c r="D897" s="617" t="s">
        <v>46</v>
      </c>
      <c r="E897" s="617" t="s">
        <v>1672</v>
      </c>
      <c r="F897" s="617" t="s">
        <v>26</v>
      </c>
      <c r="G897" s="624"/>
      <c r="O897" s="616"/>
      <c r="P897" s="616"/>
      <c r="Q897" s="616"/>
      <c r="AA897" s="624"/>
      <c r="AB897" s="663">
        <v>39043041800</v>
      </c>
      <c r="AC897" s="663" t="s">
        <v>5829</v>
      </c>
      <c r="AD897" s="663" t="s">
        <v>4941</v>
      </c>
      <c r="AE897" s="663" t="s">
        <v>4934</v>
      </c>
      <c r="AF897" s="663" t="s">
        <v>4929</v>
      </c>
    </row>
    <row r="898" spans="1:32" s="608" customFormat="1" x14ac:dyDescent="0.25">
      <c r="A898" s="624"/>
      <c r="B898" s="617">
        <v>39043040200</v>
      </c>
      <c r="C898" s="617" t="s">
        <v>2566</v>
      </c>
      <c r="D898" s="617" t="s">
        <v>46</v>
      </c>
      <c r="E898" s="617" t="s">
        <v>1672</v>
      </c>
      <c r="F898" s="617" t="s">
        <v>26</v>
      </c>
      <c r="G898" s="624"/>
      <c r="O898" s="616"/>
      <c r="P898" s="616"/>
      <c r="Q898" s="616"/>
      <c r="AA898" s="624"/>
      <c r="AB898" s="663">
        <v>39045030100</v>
      </c>
      <c r="AC898" s="663" t="s">
        <v>5830</v>
      </c>
      <c r="AD898" s="663" t="s">
        <v>4948</v>
      </c>
      <c r="AE898" s="663" t="s">
        <v>4942</v>
      </c>
      <c r="AF898" s="663" t="s">
        <v>4929</v>
      </c>
    </row>
    <row r="899" spans="1:32" s="608" customFormat="1" x14ac:dyDescent="0.25">
      <c r="A899" s="624"/>
      <c r="B899" s="617">
        <v>39043040300</v>
      </c>
      <c r="C899" s="617" t="s">
        <v>2567</v>
      </c>
      <c r="D899" s="617" t="s">
        <v>46</v>
      </c>
      <c r="E899" s="617" t="s">
        <v>1672</v>
      </c>
      <c r="F899" s="617" t="s">
        <v>26</v>
      </c>
      <c r="G899" s="624"/>
      <c r="O899" s="616"/>
      <c r="P899" s="616"/>
      <c r="Q899" s="616"/>
      <c r="AA899" s="624"/>
      <c r="AB899" s="663">
        <v>39045030200</v>
      </c>
      <c r="AC899" s="663" t="s">
        <v>5831</v>
      </c>
      <c r="AD899" s="663" t="s">
        <v>4948</v>
      </c>
      <c r="AE899" s="663" t="s">
        <v>4939</v>
      </c>
      <c r="AF899" s="663" t="s">
        <v>4929</v>
      </c>
    </row>
    <row r="900" spans="1:32" s="608" customFormat="1" x14ac:dyDescent="0.25">
      <c r="A900" s="624"/>
      <c r="B900" s="617">
        <v>39043040400</v>
      </c>
      <c r="C900" s="617" t="s">
        <v>2568</v>
      </c>
      <c r="D900" s="617" t="s">
        <v>46</v>
      </c>
      <c r="E900" s="617" t="s">
        <v>1672</v>
      </c>
      <c r="F900" s="617" t="s">
        <v>26</v>
      </c>
      <c r="G900" s="624"/>
      <c r="O900" s="616"/>
      <c r="P900" s="616"/>
      <c r="Q900" s="616"/>
      <c r="AA900" s="624"/>
      <c r="AB900" s="663">
        <v>39045030300</v>
      </c>
      <c r="AC900" s="663" t="s">
        <v>5832</v>
      </c>
      <c r="AD900" s="663" t="s">
        <v>4950</v>
      </c>
      <c r="AE900" s="663" t="s">
        <v>4942</v>
      </c>
      <c r="AF900" s="663" t="s">
        <v>4929</v>
      </c>
    </row>
    <row r="901" spans="1:32" s="608" customFormat="1" x14ac:dyDescent="0.25">
      <c r="A901" s="624"/>
      <c r="B901" s="617">
        <v>39043040500</v>
      </c>
      <c r="C901" s="617" t="s">
        <v>2569</v>
      </c>
      <c r="D901" s="617" t="s">
        <v>46</v>
      </c>
      <c r="E901" s="617" t="s">
        <v>1672</v>
      </c>
      <c r="F901" s="617" t="s">
        <v>26</v>
      </c>
      <c r="G901" s="624"/>
      <c r="O901" s="616"/>
      <c r="P901" s="616"/>
      <c r="Q901" s="616"/>
      <c r="AA901" s="624"/>
      <c r="AB901" s="663">
        <v>39045030400</v>
      </c>
      <c r="AC901" s="663" t="s">
        <v>5833</v>
      </c>
      <c r="AD901" s="663" t="s">
        <v>4938</v>
      </c>
      <c r="AE901" s="663" t="s">
        <v>4931</v>
      </c>
      <c r="AF901" s="663" t="s">
        <v>4929</v>
      </c>
    </row>
    <row r="902" spans="1:32" s="608" customFormat="1" x14ac:dyDescent="0.25">
      <c r="A902" s="624"/>
      <c r="B902" s="617">
        <v>39043040700</v>
      </c>
      <c r="C902" s="617" t="s">
        <v>2570</v>
      </c>
      <c r="D902" s="617" t="s">
        <v>46</v>
      </c>
      <c r="E902" s="617" t="s">
        <v>1672</v>
      </c>
      <c r="F902" s="617" t="s">
        <v>26</v>
      </c>
      <c r="G902" s="624"/>
      <c r="O902" s="616"/>
      <c r="P902" s="616"/>
      <c r="Q902" s="616"/>
      <c r="AA902" s="624"/>
      <c r="AB902" s="663">
        <v>39045030600</v>
      </c>
      <c r="AC902" s="663" t="s">
        <v>5834</v>
      </c>
      <c r="AD902" s="663" t="s">
        <v>4948</v>
      </c>
      <c r="AE902" s="663" t="s">
        <v>4942</v>
      </c>
      <c r="AF902" s="663" t="s">
        <v>4946</v>
      </c>
    </row>
    <row r="903" spans="1:32" s="608" customFormat="1" x14ac:dyDescent="0.25">
      <c r="A903" s="624"/>
      <c r="B903" s="617">
        <v>39043040801</v>
      </c>
      <c r="C903" s="617" t="s">
        <v>2571</v>
      </c>
      <c r="D903" s="617" t="s">
        <v>46</v>
      </c>
      <c r="E903" s="617" t="s">
        <v>1672</v>
      </c>
      <c r="F903" s="617" t="s">
        <v>24</v>
      </c>
      <c r="G903" s="624"/>
      <c r="O903" s="616"/>
      <c r="P903" s="616"/>
      <c r="Q903" s="616"/>
      <c r="AA903" s="624"/>
      <c r="AB903" s="663">
        <v>39045030700</v>
      </c>
      <c r="AC903" s="663" t="s">
        <v>5835</v>
      </c>
      <c r="AD903" s="663" t="s">
        <v>4938</v>
      </c>
      <c r="AE903" s="663" t="s">
        <v>4939</v>
      </c>
      <c r="AF903" s="663" t="s">
        <v>4929</v>
      </c>
    </row>
    <row r="904" spans="1:32" s="608" customFormat="1" x14ac:dyDescent="0.25">
      <c r="A904" s="624"/>
      <c r="B904" s="617">
        <v>39043040802</v>
      </c>
      <c r="C904" s="617" t="s">
        <v>2572</v>
      </c>
      <c r="D904" s="617" t="s">
        <v>46</v>
      </c>
      <c r="E904" s="617" t="s">
        <v>1672</v>
      </c>
      <c r="F904" s="617" t="s">
        <v>24</v>
      </c>
      <c r="G904" s="624"/>
      <c r="O904" s="616"/>
      <c r="P904" s="616"/>
      <c r="Q904" s="616"/>
      <c r="AA904" s="624"/>
      <c r="AB904" s="663">
        <v>39045030800</v>
      </c>
      <c r="AC904" s="663" t="s">
        <v>5836</v>
      </c>
      <c r="AD904" s="663" t="s">
        <v>4938</v>
      </c>
      <c r="AE904" s="663" t="s">
        <v>4942</v>
      </c>
      <c r="AF904" s="663" t="s">
        <v>4929</v>
      </c>
    </row>
    <row r="905" spans="1:32" s="608" customFormat="1" x14ac:dyDescent="0.25">
      <c r="A905" s="624"/>
      <c r="B905" s="617">
        <v>39043040900</v>
      </c>
      <c r="C905" s="617" t="s">
        <v>2573</v>
      </c>
      <c r="D905" s="617" t="s">
        <v>46</v>
      </c>
      <c r="E905" s="617" t="s">
        <v>1672</v>
      </c>
      <c r="F905" s="617" t="s">
        <v>26</v>
      </c>
      <c r="G905" s="624"/>
      <c r="O905" s="616"/>
      <c r="P905" s="616"/>
      <c r="Q905" s="616"/>
      <c r="AA905" s="624"/>
      <c r="AB905" s="663">
        <v>39045030900</v>
      </c>
      <c r="AC905" s="663" t="s">
        <v>5837</v>
      </c>
      <c r="AD905" s="663" t="s">
        <v>4938</v>
      </c>
      <c r="AE905" s="663" t="s">
        <v>4931</v>
      </c>
      <c r="AF905" s="663" t="s">
        <v>4929</v>
      </c>
    </row>
    <row r="906" spans="1:32" s="608" customFormat="1" x14ac:dyDescent="0.25">
      <c r="A906" s="624"/>
      <c r="B906" s="617">
        <v>39043041000</v>
      </c>
      <c r="C906" s="617" t="s">
        <v>2574</v>
      </c>
      <c r="D906" s="617" t="s">
        <v>46</v>
      </c>
      <c r="E906" s="617" t="s">
        <v>1672</v>
      </c>
      <c r="F906" s="617" t="s">
        <v>24</v>
      </c>
      <c r="G906" s="624"/>
      <c r="O906" s="616"/>
      <c r="P906" s="616"/>
      <c r="Q906" s="616"/>
      <c r="AA906" s="624"/>
      <c r="AB906" s="663">
        <v>39045031000</v>
      </c>
      <c r="AC906" s="663" t="s">
        <v>5838</v>
      </c>
      <c r="AD906" s="663" t="s">
        <v>4941</v>
      </c>
      <c r="AE906" s="663" t="s">
        <v>4931</v>
      </c>
      <c r="AF906" s="663" t="s">
        <v>4929</v>
      </c>
    </row>
    <row r="907" spans="1:32" s="608" customFormat="1" x14ac:dyDescent="0.25">
      <c r="A907" s="624"/>
      <c r="B907" s="617">
        <v>39043041100</v>
      </c>
      <c r="C907" s="617" t="s">
        <v>2575</v>
      </c>
      <c r="D907" s="617" t="s">
        <v>46</v>
      </c>
      <c r="E907" s="617" t="s">
        <v>1672</v>
      </c>
      <c r="F907" s="617" t="s">
        <v>26</v>
      </c>
      <c r="G907" s="624"/>
      <c r="O907" s="616"/>
      <c r="P907" s="616"/>
      <c r="Q907" s="616"/>
      <c r="AA907" s="624"/>
      <c r="AB907" s="663">
        <v>39045031100</v>
      </c>
      <c r="AC907" s="663" t="s">
        <v>5839</v>
      </c>
      <c r="AD907" s="663" t="s">
        <v>4948</v>
      </c>
      <c r="AE907" s="663" t="s">
        <v>4942</v>
      </c>
      <c r="AF907" s="663" t="s">
        <v>4929</v>
      </c>
    </row>
    <row r="908" spans="1:32" s="608" customFormat="1" x14ac:dyDescent="0.25">
      <c r="A908" s="624"/>
      <c r="B908" s="617">
        <v>39043041200</v>
      </c>
      <c r="C908" s="617" t="s">
        <v>2576</v>
      </c>
      <c r="D908" s="617" t="s">
        <v>46</v>
      </c>
      <c r="E908" s="617" t="s">
        <v>1672</v>
      </c>
      <c r="F908" s="617" t="s">
        <v>26</v>
      </c>
      <c r="G908" s="624"/>
      <c r="O908" s="616"/>
      <c r="P908" s="616"/>
      <c r="Q908" s="616"/>
      <c r="AA908" s="624"/>
      <c r="AB908" s="663">
        <v>39045031200</v>
      </c>
      <c r="AC908" s="663" t="s">
        <v>5840</v>
      </c>
      <c r="AD908" s="663" t="s">
        <v>4950</v>
      </c>
      <c r="AE908" s="663" t="s">
        <v>4931</v>
      </c>
      <c r="AF908" s="663" t="s">
        <v>4929</v>
      </c>
    </row>
    <row r="909" spans="1:32" s="608" customFormat="1" x14ac:dyDescent="0.25">
      <c r="A909" s="624"/>
      <c r="B909" s="617">
        <v>39043041300</v>
      </c>
      <c r="C909" s="617" t="s">
        <v>2577</v>
      </c>
      <c r="D909" s="617" t="s">
        <v>46</v>
      </c>
      <c r="E909" s="617" t="s">
        <v>1672</v>
      </c>
      <c r="F909" s="617" t="s">
        <v>26</v>
      </c>
      <c r="G909" s="624"/>
      <c r="O909" s="616"/>
      <c r="P909" s="616"/>
      <c r="Q909" s="616"/>
      <c r="AA909" s="624"/>
      <c r="AB909" s="663">
        <v>39045031300</v>
      </c>
      <c r="AC909" s="663" t="s">
        <v>5841</v>
      </c>
      <c r="AD909" s="663" t="s">
        <v>4950</v>
      </c>
      <c r="AE909" s="663" t="s">
        <v>4934</v>
      </c>
      <c r="AF909" s="663" t="s">
        <v>4929</v>
      </c>
    </row>
    <row r="910" spans="1:32" s="608" customFormat="1" x14ac:dyDescent="0.25">
      <c r="A910" s="624"/>
      <c r="B910" s="617">
        <v>39043041400</v>
      </c>
      <c r="C910" s="617" t="s">
        <v>2578</v>
      </c>
      <c r="D910" s="617" t="s">
        <v>46</v>
      </c>
      <c r="E910" s="617" t="s">
        <v>1672</v>
      </c>
      <c r="F910" s="617" t="s">
        <v>26</v>
      </c>
      <c r="G910" s="624"/>
      <c r="O910" s="616"/>
      <c r="P910" s="616"/>
      <c r="Q910" s="616"/>
      <c r="AA910" s="624"/>
      <c r="AB910" s="663">
        <v>39045031400</v>
      </c>
      <c r="AC910" s="663" t="s">
        <v>5842</v>
      </c>
      <c r="AD910" s="663" t="s">
        <v>4948</v>
      </c>
      <c r="AE910" s="663" t="s">
        <v>4928</v>
      </c>
      <c r="AF910" s="663" t="s">
        <v>4929</v>
      </c>
    </row>
    <row r="911" spans="1:32" s="608" customFormat="1" x14ac:dyDescent="0.25">
      <c r="A911" s="624"/>
      <c r="B911" s="617">
        <v>39043041600</v>
      </c>
      <c r="C911" s="617" t="s">
        <v>2579</v>
      </c>
      <c r="D911" s="617" t="s">
        <v>46</v>
      </c>
      <c r="E911" s="617" t="s">
        <v>1672</v>
      </c>
      <c r="F911" s="617" t="s">
        <v>26</v>
      </c>
      <c r="G911" s="624"/>
      <c r="O911" s="616"/>
      <c r="P911" s="616"/>
      <c r="Q911" s="616"/>
      <c r="AA911" s="624"/>
      <c r="AB911" s="663">
        <v>39045031500</v>
      </c>
      <c r="AC911" s="663" t="s">
        <v>5843</v>
      </c>
      <c r="AD911" s="663" t="s">
        <v>4938</v>
      </c>
      <c r="AE911" s="663" t="s">
        <v>4928</v>
      </c>
      <c r="AF911" s="663" t="s">
        <v>4929</v>
      </c>
    </row>
    <row r="912" spans="1:32" s="608" customFormat="1" x14ac:dyDescent="0.25">
      <c r="A912" s="624"/>
      <c r="B912" s="617">
        <v>39043041701</v>
      </c>
      <c r="C912" s="617" t="s">
        <v>2580</v>
      </c>
      <c r="D912" s="617" t="s">
        <v>46</v>
      </c>
      <c r="E912" s="617" t="s">
        <v>1672</v>
      </c>
      <c r="F912" s="617" t="s">
        <v>26</v>
      </c>
      <c r="G912" s="624"/>
      <c r="O912" s="616"/>
      <c r="P912" s="616"/>
      <c r="Q912" s="616"/>
      <c r="AA912" s="624"/>
      <c r="AB912" s="663">
        <v>39045031600</v>
      </c>
      <c r="AC912" s="663" t="s">
        <v>5844</v>
      </c>
      <c r="AD912" s="663" t="s">
        <v>4950</v>
      </c>
      <c r="AE912" s="663" t="s">
        <v>4934</v>
      </c>
      <c r="AF912" s="663" t="s">
        <v>4929</v>
      </c>
    </row>
    <row r="913" spans="1:32" s="608" customFormat="1" x14ac:dyDescent="0.25">
      <c r="A913" s="624"/>
      <c r="B913" s="617">
        <v>39043041702</v>
      </c>
      <c r="C913" s="617" t="s">
        <v>2581</v>
      </c>
      <c r="D913" s="617" t="s">
        <v>46</v>
      </c>
      <c r="E913" s="617" t="s">
        <v>1672</v>
      </c>
      <c r="F913" s="617" t="s">
        <v>26</v>
      </c>
      <c r="G913" s="624"/>
      <c r="O913" s="616"/>
      <c r="P913" s="616"/>
      <c r="Q913" s="616"/>
      <c r="AA913" s="624"/>
      <c r="AB913" s="663">
        <v>39045031700</v>
      </c>
      <c r="AC913" s="663" t="s">
        <v>5845</v>
      </c>
      <c r="AD913" s="663" t="s">
        <v>4927</v>
      </c>
      <c r="AE913" s="663" t="s">
        <v>4942</v>
      </c>
      <c r="AF913" s="663" t="s">
        <v>4983</v>
      </c>
    </row>
    <row r="914" spans="1:32" s="608" customFormat="1" x14ac:dyDescent="0.25">
      <c r="A914" s="624"/>
      <c r="B914" s="617">
        <v>39043041800</v>
      </c>
      <c r="C914" s="617" t="s">
        <v>2582</v>
      </c>
      <c r="D914" s="617" t="s">
        <v>46</v>
      </c>
      <c r="E914" s="617" t="s">
        <v>1672</v>
      </c>
      <c r="F914" s="617" t="s">
        <v>26</v>
      </c>
      <c r="G914" s="624"/>
      <c r="O914" s="616"/>
      <c r="P914" s="616"/>
      <c r="Q914" s="616"/>
      <c r="AA914" s="624"/>
      <c r="AB914" s="663">
        <v>39045032000</v>
      </c>
      <c r="AC914" s="663" t="s">
        <v>5846</v>
      </c>
      <c r="AD914" s="663" t="s">
        <v>4950</v>
      </c>
      <c r="AE914" s="663" t="s">
        <v>4931</v>
      </c>
      <c r="AF914" s="663" t="s">
        <v>4983</v>
      </c>
    </row>
    <row r="915" spans="1:32" s="608" customFormat="1" x14ac:dyDescent="0.25">
      <c r="A915" s="624"/>
      <c r="B915" s="617">
        <v>39043041900</v>
      </c>
      <c r="C915" s="617" t="s">
        <v>2583</v>
      </c>
      <c r="D915" s="617" t="s">
        <v>46</v>
      </c>
      <c r="E915" s="617" t="s">
        <v>1672</v>
      </c>
      <c r="F915" s="617" t="s">
        <v>26</v>
      </c>
      <c r="G915" s="624"/>
      <c r="O915" s="616"/>
      <c r="P915" s="616"/>
      <c r="Q915" s="616"/>
      <c r="AA915" s="624"/>
      <c r="AB915" s="663">
        <v>39045032100</v>
      </c>
      <c r="AC915" s="663" t="s">
        <v>5847</v>
      </c>
      <c r="AD915" s="663" t="s">
        <v>4941</v>
      </c>
      <c r="AE915" s="663" t="s">
        <v>4934</v>
      </c>
      <c r="AF915" s="663" t="s">
        <v>4983</v>
      </c>
    </row>
    <row r="916" spans="1:32" s="608" customFormat="1" x14ac:dyDescent="0.25">
      <c r="A916" s="624"/>
      <c r="B916" s="617">
        <v>39043990100</v>
      </c>
      <c r="C916" s="617" t="s">
        <v>2584</v>
      </c>
      <c r="D916" s="617" t="s">
        <v>46</v>
      </c>
      <c r="E916" s="617" t="s">
        <v>1672</v>
      </c>
      <c r="F916" s="617" t="s">
        <v>26</v>
      </c>
      <c r="G916" s="624"/>
      <c r="O916" s="616"/>
      <c r="P916" s="616"/>
      <c r="Q916" s="616"/>
      <c r="AA916" s="624"/>
      <c r="AB916" s="663">
        <v>39045032200</v>
      </c>
      <c r="AC916" s="663" t="s">
        <v>5848</v>
      </c>
      <c r="AD916" s="663" t="s">
        <v>4927</v>
      </c>
      <c r="AE916" s="663" t="s">
        <v>4928</v>
      </c>
      <c r="AF916" s="663" t="s">
        <v>4983</v>
      </c>
    </row>
    <row r="917" spans="1:32" s="608" customFormat="1" x14ac:dyDescent="0.25">
      <c r="A917" s="624"/>
      <c r="B917" s="617">
        <v>39045030100</v>
      </c>
      <c r="C917" s="617" t="s">
        <v>2585</v>
      </c>
      <c r="D917" s="617" t="s">
        <v>47</v>
      </c>
      <c r="E917" s="617" t="s">
        <v>4854</v>
      </c>
      <c r="F917" s="617" t="s">
        <v>26</v>
      </c>
      <c r="G917" s="624"/>
      <c r="O917" s="616"/>
      <c r="P917" s="616"/>
      <c r="Q917" s="616"/>
      <c r="AA917" s="624"/>
      <c r="AB917" s="663">
        <v>39045032300</v>
      </c>
      <c r="AC917" s="663" t="s">
        <v>5849</v>
      </c>
      <c r="AD917" s="663" t="s">
        <v>4950</v>
      </c>
      <c r="AE917" s="663" t="s">
        <v>4928</v>
      </c>
      <c r="AF917" s="663" t="s">
        <v>4929</v>
      </c>
    </row>
    <row r="918" spans="1:32" s="608" customFormat="1" x14ac:dyDescent="0.25">
      <c r="A918" s="624"/>
      <c r="B918" s="617">
        <v>39045030200</v>
      </c>
      <c r="C918" s="617" t="s">
        <v>2586</v>
      </c>
      <c r="D918" s="617" t="s">
        <v>47</v>
      </c>
      <c r="E918" s="617" t="s">
        <v>4854</v>
      </c>
      <c r="F918" s="617" t="s">
        <v>26</v>
      </c>
      <c r="G918" s="624"/>
      <c r="O918" s="616"/>
      <c r="P918" s="616"/>
      <c r="Q918" s="616"/>
      <c r="AA918" s="624"/>
      <c r="AB918" s="663">
        <v>39045032500</v>
      </c>
      <c r="AC918" s="663" t="s">
        <v>5850</v>
      </c>
      <c r="AD918" s="663" t="s">
        <v>4938</v>
      </c>
      <c r="AE918" s="663" t="s">
        <v>4942</v>
      </c>
      <c r="AF918" s="663" t="s">
        <v>4929</v>
      </c>
    </row>
    <row r="919" spans="1:32" s="608" customFormat="1" x14ac:dyDescent="0.25">
      <c r="A919" s="624"/>
      <c r="B919" s="617">
        <v>39045030300</v>
      </c>
      <c r="C919" s="617" t="s">
        <v>2587</v>
      </c>
      <c r="D919" s="617" t="s">
        <v>47</v>
      </c>
      <c r="E919" s="617" t="s">
        <v>4854</v>
      </c>
      <c r="F919" s="617" t="s">
        <v>26</v>
      </c>
      <c r="G919" s="624"/>
      <c r="O919" s="616"/>
      <c r="P919" s="616"/>
      <c r="Q919" s="616"/>
      <c r="AA919" s="624"/>
      <c r="AB919" s="663">
        <v>39045032600</v>
      </c>
      <c r="AC919" s="663" t="s">
        <v>5851</v>
      </c>
      <c r="AD919" s="663" t="s">
        <v>4950</v>
      </c>
      <c r="AE919" s="663" t="s">
        <v>4942</v>
      </c>
      <c r="AF919" s="663" t="s">
        <v>4929</v>
      </c>
    </row>
    <row r="920" spans="1:32" s="608" customFormat="1" x14ac:dyDescent="0.25">
      <c r="A920" s="624"/>
      <c r="B920" s="617">
        <v>39045030400</v>
      </c>
      <c r="C920" s="617" t="s">
        <v>2588</v>
      </c>
      <c r="D920" s="617" t="s">
        <v>47</v>
      </c>
      <c r="E920" s="617" t="s">
        <v>4854</v>
      </c>
      <c r="F920" s="617" t="s">
        <v>26</v>
      </c>
      <c r="G920" s="624"/>
      <c r="O920" s="616"/>
      <c r="P920" s="616"/>
      <c r="Q920" s="616"/>
      <c r="AA920" s="624"/>
      <c r="AB920" s="663">
        <v>39045032701</v>
      </c>
      <c r="AC920" s="663" t="s">
        <v>5852</v>
      </c>
      <c r="AD920" s="663" t="s">
        <v>4948</v>
      </c>
      <c r="AE920" s="663" t="s">
        <v>4928</v>
      </c>
      <c r="AF920" s="663" t="s">
        <v>4946</v>
      </c>
    </row>
    <row r="921" spans="1:32" s="608" customFormat="1" x14ac:dyDescent="0.25">
      <c r="A921" s="624"/>
      <c r="B921" s="617">
        <v>39045030601</v>
      </c>
      <c r="C921" s="617" t="s">
        <v>2589</v>
      </c>
      <c r="D921" s="617" t="s">
        <v>47</v>
      </c>
      <c r="E921" s="617" t="s">
        <v>4854</v>
      </c>
      <c r="F921" s="617" t="s">
        <v>26</v>
      </c>
      <c r="G921" s="624"/>
      <c r="O921" s="616"/>
      <c r="P921" s="616"/>
      <c r="Q921" s="616"/>
      <c r="AA921" s="624"/>
      <c r="AB921" s="663">
        <v>39045032702</v>
      </c>
      <c r="AC921" s="663" t="s">
        <v>5853</v>
      </c>
      <c r="AD921" s="663" t="s">
        <v>4950</v>
      </c>
      <c r="AE921" s="663" t="s">
        <v>4942</v>
      </c>
      <c r="AF921" s="663" t="s">
        <v>4946</v>
      </c>
    </row>
    <row r="922" spans="1:32" s="608" customFormat="1" x14ac:dyDescent="0.25">
      <c r="A922" s="624"/>
      <c r="B922" s="617">
        <v>39045030602</v>
      </c>
      <c r="C922" s="617" t="s">
        <v>2590</v>
      </c>
      <c r="D922" s="617" t="s">
        <v>47</v>
      </c>
      <c r="E922" s="617" t="s">
        <v>4854</v>
      </c>
      <c r="F922" s="617" t="s">
        <v>26</v>
      </c>
      <c r="G922" s="624"/>
      <c r="O922" s="616"/>
      <c r="P922" s="616"/>
      <c r="Q922" s="616"/>
      <c r="AA922" s="624"/>
      <c r="AB922" s="663">
        <v>39045032800</v>
      </c>
      <c r="AC922" s="663" t="s">
        <v>5854</v>
      </c>
      <c r="AD922" s="663" t="s">
        <v>4938</v>
      </c>
      <c r="AE922" s="663" t="s">
        <v>4934</v>
      </c>
      <c r="AF922" s="663" t="s">
        <v>4946</v>
      </c>
    </row>
    <row r="923" spans="1:32" s="608" customFormat="1" x14ac:dyDescent="0.25">
      <c r="A923" s="624"/>
      <c r="B923" s="617">
        <v>39045030700</v>
      </c>
      <c r="C923" s="617" t="s">
        <v>2591</v>
      </c>
      <c r="D923" s="617" t="s">
        <v>47</v>
      </c>
      <c r="E923" s="617" t="s">
        <v>4854</v>
      </c>
      <c r="F923" s="617" t="s">
        <v>26</v>
      </c>
      <c r="G923" s="624"/>
      <c r="O923" s="616"/>
      <c r="P923" s="616"/>
      <c r="Q923" s="616"/>
      <c r="AA923" s="624"/>
      <c r="AB923" s="663">
        <v>39045032900</v>
      </c>
      <c r="AC923" s="663" t="s">
        <v>5855</v>
      </c>
      <c r="AD923" s="663" t="s">
        <v>4938</v>
      </c>
      <c r="AE923" s="663" t="s">
        <v>4934</v>
      </c>
      <c r="AF923" s="663" t="s">
        <v>4946</v>
      </c>
    </row>
    <row r="924" spans="1:32" s="608" customFormat="1" x14ac:dyDescent="0.25">
      <c r="A924" s="624"/>
      <c r="B924" s="617">
        <v>39045030800</v>
      </c>
      <c r="C924" s="617" t="s">
        <v>2592</v>
      </c>
      <c r="D924" s="617" t="s">
        <v>47</v>
      </c>
      <c r="E924" s="617" t="s">
        <v>4854</v>
      </c>
      <c r="F924" s="617" t="s">
        <v>26</v>
      </c>
      <c r="G924" s="624"/>
      <c r="O924" s="616"/>
      <c r="P924" s="616"/>
      <c r="Q924" s="616"/>
      <c r="AA924" s="624"/>
      <c r="AB924" s="663">
        <v>39045033000</v>
      </c>
      <c r="AC924" s="663" t="s">
        <v>5856</v>
      </c>
      <c r="AD924" s="663" t="s">
        <v>4941</v>
      </c>
      <c r="AE924" s="663" t="s">
        <v>4939</v>
      </c>
      <c r="AF924" s="663" t="s">
        <v>4946</v>
      </c>
    </row>
    <row r="925" spans="1:32" s="608" customFormat="1" x14ac:dyDescent="0.25">
      <c r="A925" s="624"/>
      <c r="B925" s="617">
        <v>39045030901</v>
      </c>
      <c r="C925" s="617" t="s">
        <v>2593</v>
      </c>
      <c r="D925" s="617" t="s">
        <v>47</v>
      </c>
      <c r="E925" s="617" t="s">
        <v>4854</v>
      </c>
      <c r="F925" s="617" t="s">
        <v>26</v>
      </c>
      <c r="G925" s="624"/>
      <c r="O925" s="616"/>
      <c r="P925" s="616"/>
      <c r="Q925" s="616"/>
      <c r="AA925" s="624"/>
      <c r="AB925" s="663">
        <v>39045033100</v>
      </c>
      <c r="AC925" s="663" t="s">
        <v>5857</v>
      </c>
      <c r="AD925" s="663" t="s">
        <v>4941</v>
      </c>
      <c r="AE925" s="663" t="s">
        <v>4931</v>
      </c>
      <c r="AF925" s="663" t="s">
        <v>4946</v>
      </c>
    </row>
    <row r="926" spans="1:32" s="608" customFormat="1" x14ac:dyDescent="0.25">
      <c r="A926" s="624"/>
      <c r="B926" s="617">
        <v>39045030902</v>
      </c>
      <c r="C926" s="617" t="s">
        <v>2594</v>
      </c>
      <c r="D926" s="617" t="s">
        <v>47</v>
      </c>
      <c r="E926" s="617" t="s">
        <v>4854</v>
      </c>
      <c r="F926" s="617" t="s">
        <v>26</v>
      </c>
      <c r="G926" s="624"/>
      <c r="O926" s="616"/>
      <c r="P926" s="616"/>
      <c r="Q926" s="616"/>
      <c r="AA926" s="624"/>
      <c r="AB926" s="663">
        <v>39047925800</v>
      </c>
      <c r="AC926" s="663" t="s">
        <v>5858</v>
      </c>
      <c r="AD926" s="663" t="s">
        <v>4948</v>
      </c>
      <c r="AE926" s="663" t="s">
        <v>4931</v>
      </c>
      <c r="AF926" s="663" t="s">
        <v>4929</v>
      </c>
    </row>
    <row r="927" spans="1:32" s="608" customFormat="1" x14ac:dyDescent="0.25">
      <c r="A927" s="624"/>
      <c r="B927" s="617">
        <v>39045031000</v>
      </c>
      <c r="C927" s="617" t="s">
        <v>2595</v>
      </c>
      <c r="D927" s="617" t="s">
        <v>47</v>
      </c>
      <c r="E927" s="617" t="s">
        <v>4854</v>
      </c>
      <c r="F927" s="617" t="s">
        <v>26</v>
      </c>
      <c r="G927" s="624"/>
      <c r="O927" s="616"/>
      <c r="P927" s="616"/>
      <c r="Q927" s="616"/>
      <c r="AA927" s="624"/>
      <c r="AB927" s="663">
        <v>39047925900</v>
      </c>
      <c r="AC927" s="663" t="s">
        <v>5859</v>
      </c>
      <c r="AD927" s="663" t="s">
        <v>4948</v>
      </c>
      <c r="AE927" s="663" t="s">
        <v>4942</v>
      </c>
      <c r="AF927" s="663" t="s">
        <v>4929</v>
      </c>
    </row>
    <row r="928" spans="1:32" s="608" customFormat="1" x14ac:dyDescent="0.25">
      <c r="A928" s="624"/>
      <c r="B928" s="617">
        <v>39045031100</v>
      </c>
      <c r="C928" s="617" t="s">
        <v>2596</v>
      </c>
      <c r="D928" s="617" t="s">
        <v>47</v>
      </c>
      <c r="E928" s="617" t="s">
        <v>4854</v>
      </c>
      <c r="F928" s="617" t="s">
        <v>26</v>
      </c>
      <c r="G928" s="624"/>
      <c r="O928" s="616"/>
      <c r="P928" s="616"/>
      <c r="Q928" s="616"/>
      <c r="AA928" s="624"/>
      <c r="AB928" s="663">
        <v>39047926000</v>
      </c>
      <c r="AC928" s="663" t="s">
        <v>5860</v>
      </c>
      <c r="AD928" s="663" t="s">
        <v>4950</v>
      </c>
      <c r="AE928" s="663" t="s">
        <v>4942</v>
      </c>
      <c r="AF928" s="663" t="s">
        <v>4929</v>
      </c>
    </row>
    <row r="929" spans="1:32" s="608" customFormat="1" x14ac:dyDescent="0.25">
      <c r="A929" s="624"/>
      <c r="B929" s="617">
        <v>39045031200</v>
      </c>
      <c r="C929" s="617" t="s">
        <v>2597</v>
      </c>
      <c r="D929" s="617" t="s">
        <v>47</v>
      </c>
      <c r="E929" s="617" t="s">
        <v>4854</v>
      </c>
      <c r="F929" s="617" t="s">
        <v>26</v>
      </c>
      <c r="G929" s="624"/>
      <c r="O929" s="616"/>
      <c r="P929" s="616"/>
      <c r="Q929" s="616"/>
      <c r="AA929" s="624"/>
      <c r="AB929" s="663">
        <v>39047926100</v>
      </c>
      <c r="AC929" s="663" t="s">
        <v>5861</v>
      </c>
      <c r="AD929" s="663" t="s">
        <v>4927</v>
      </c>
      <c r="AE929" s="663" t="s">
        <v>4931</v>
      </c>
      <c r="AF929" s="663" t="s">
        <v>4929</v>
      </c>
    </row>
    <row r="930" spans="1:32" s="608" customFormat="1" x14ac:dyDescent="0.25">
      <c r="A930" s="624"/>
      <c r="B930" s="617">
        <v>39045031300</v>
      </c>
      <c r="C930" s="617" t="s">
        <v>2598</v>
      </c>
      <c r="D930" s="617" t="s">
        <v>47</v>
      </c>
      <c r="E930" s="617" t="s">
        <v>4854</v>
      </c>
      <c r="F930" s="617" t="s">
        <v>24</v>
      </c>
      <c r="G930" s="624"/>
      <c r="O930" s="616"/>
      <c r="P930" s="616"/>
      <c r="Q930" s="616"/>
      <c r="AA930" s="624"/>
      <c r="AB930" s="663">
        <v>39047926200</v>
      </c>
      <c r="AC930" s="663" t="s">
        <v>5862</v>
      </c>
      <c r="AD930" s="663" t="s">
        <v>4948</v>
      </c>
      <c r="AE930" s="663" t="s">
        <v>4931</v>
      </c>
      <c r="AF930" s="663" t="s">
        <v>4929</v>
      </c>
    </row>
    <row r="931" spans="1:32" s="608" customFormat="1" x14ac:dyDescent="0.25">
      <c r="A931" s="624"/>
      <c r="B931" s="617">
        <v>39045031401</v>
      </c>
      <c r="C931" s="617" t="s">
        <v>2599</v>
      </c>
      <c r="D931" s="617" t="s">
        <v>47</v>
      </c>
      <c r="E931" s="617" t="s">
        <v>4854</v>
      </c>
      <c r="F931" s="617" t="s">
        <v>26</v>
      </c>
      <c r="G931" s="624"/>
      <c r="O931" s="616"/>
      <c r="P931" s="616"/>
      <c r="Q931" s="616"/>
      <c r="AA931" s="624"/>
      <c r="AB931" s="663">
        <v>39047926300</v>
      </c>
      <c r="AC931" s="663" t="s">
        <v>5863</v>
      </c>
      <c r="AD931" s="663" t="s">
        <v>4950</v>
      </c>
      <c r="AE931" s="663" t="s">
        <v>4942</v>
      </c>
      <c r="AF931" s="663" t="s">
        <v>4929</v>
      </c>
    </row>
    <row r="932" spans="1:32" s="608" customFormat="1" x14ac:dyDescent="0.25">
      <c r="A932" s="624"/>
      <c r="B932" s="617">
        <v>39045031402</v>
      </c>
      <c r="C932" s="617" t="s">
        <v>2600</v>
      </c>
      <c r="D932" s="617" t="s">
        <v>47</v>
      </c>
      <c r="E932" s="617" t="s">
        <v>4854</v>
      </c>
      <c r="F932" s="617" t="s">
        <v>26</v>
      </c>
      <c r="G932" s="624"/>
      <c r="O932" s="616"/>
      <c r="P932" s="616"/>
      <c r="Q932" s="616"/>
      <c r="AA932" s="624"/>
      <c r="AB932" s="663">
        <v>39047926400</v>
      </c>
      <c r="AC932" s="663" t="s">
        <v>5864</v>
      </c>
      <c r="AD932" s="663" t="s">
        <v>4950</v>
      </c>
      <c r="AE932" s="663" t="s">
        <v>4942</v>
      </c>
      <c r="AF932" s="663" t="s">
        <v>4929</v>
      </c>
    </row>
    <row r="933" spans="1:32" s="608" customFormat="1" x14ac:dyDescent="0.25">
      <c r="A933" s="624"/>
      <c r="B933" s="617">
        <v>39045031500</v>
      </c>
      <c r="C933" s="617" t="s">
        <v>2601</v>
      </c>
      <c r="D933" s="617" t="s">
        <v>47</v>
      </c>
      <c r="E933" s="617" t="s">
        <v>4854</v>
      </c>
      <c r="F933" s="617" t="s">
        <v>26</v>
      </c>
      <c r="G933" s="624"/>
      <c r="O933" s="616"/>
      <c r="P933" s="616"/>
      <c r="Q933" s="616"/>
      <c r="AA933" s="624"/>
      <c r="AB933" s="663">
        <v>39049000110</v>
      </c>
      <c r="AC933" s="663" t="s">
        <v>5865</v>
      </c>
      <c r="AD933" s="663" t="s">
        <v>4938</v>
      </c>
      <c r="AE933" s="663" t="s">
        <v>4942</v>
      </c>
      <c r="AF933" s="663" t="s">
        <v>4962</v>
      </c>
    </row>
    <row r="934" spans="1:32" s="608" customFormat="1" x14ac:dyDescent="0.25">
      <c r="A934" s="624"/>
      <c r="B934" s="617">
        <v>39045031600</v>
      </c>
      <c r="C934" s="617" t="s">
        <v>2602</v>
      </c>
      <c r="D934" s="617" t="s">
        <v>47</v>
      </c>
      <c r="E934" s="617" t="s">
        <v>4854</v>
      </c>
      <c r="F934" s="617" t="s">
        <v>24</v>
      </c>
      <c r="G934" s="624"/>
      <c r="O934" s="616"/>
      <c r="P934" s="616"/>
      <c r="Q934" s="616"/>
      <c r="AA934" s="624"/>
      <c r="AB934" s="663">
        <v>39049000120</v>
      </c>
      <c r="AC934" s="663" t="s">
        <v>5866</v>
      </c>
      <c r="AD934" s="663" t="s">
        <v>4938</v>
      </c>
      <c r="AE934" s="663" t="s">
        <v>4931</v>
      </c>
      <c r="AF934" s="663" t="s">
        <v>4962</v>
      </c>
    </row>
    <row r="935" spans="1:32" s="608" customFormat="1" x14ac:dyDescent="0.25">
      <c r="A935" s="624"/>
      <c r="B935" s="617">
        <v>39045031700</v>
      </c>
      <c r="C935" s="617" t="s">
        <v>2603</v>
      </c>
      <c r="D935" s="617" t="s">
        <v>47</v>
      </c>
      <c r="E935" s="617" t="s">
        <v>4854</v>
      </c>
      <c r="F935" s="617" t="s">
        <v>24</v>
      </c>
      <c r="G935" s="624"/>
      <c r="O935" s="616"/>
      <c r="P935" s="616"/>
      <c r="Q935" s="616"/>
      <c r="AA935" s="624"/>
      <c r="AB935" s="663">
        <v>39049000210</v>
      </c>
      <c r="AC935" s="663" t="s">
        <v>5867</v>
      </c>
      <c r="AD935" s="663" t="s">
        <v>4938</v>
      </c>
      <c r="AE935" s="663" t="s">
        <v>4934</v>
      </c>
      <c r="AF935" s="663" t="s">
        <v>4962</v>
      </c>
    </row>
    <row r="936" spans="1:32" s="608" customFormat="1" x14ac:dyDescent="0.25">
      <c r="A936" s="624"/>
      <c r="B936" s="617">
        <v>39045032000</v>
      </c>
      <c r="C936" s="617" t="s">
        <v>2604</v>
      </c>
      <c r="D936" s="617" t="s">
        <v>47</v>
      </c>
      <c r="E936" s="617" t="s">
        <v>4854</v>
      </c>
      <c r="F936" s="617" t="s">
        <v>24</v>
      </c>
      <c r="G936" s="624"/>
      <c r="O936" s="616"/>
      <c r="P936" s="616"/>
      <c r="Q936" s="616"/>
      <c r="AA936" s="624"/>
      <c r="AB936" s="663">
        <v>39049000220</v>
      </c>
      <c r="AC936" s="663" t="s">
        <v>5868</v>
      </c>
      <c r="AD936" s="663" t="s">
        <v>4938</v>
      </c>
      <c r="AE936" s="663" t="s">
        <v>4931</v>
      </c>
      <c r="AF936" s="663" t="s">
        <v>4962</v>
      </c>
    </row>
    <row r="937" spans="1:32" s="608" customFormat="1" x14ac:dyDescent="0.25">
      <c r="A937" s="624"/>
      <c r="B937" s="617">
        <v>39045032100</v>
      </c>
      <c r="C937" s="617" t="s">
        <v>2605</v>
      </c>
      <c r="D937" s="617" t="s">
        <v>47</v>
      </c>
      <c r="E937" s="617" t="s">
        <v>4854</v>
      </c>
      <c r="F937" s="617" t="s">
        <v>26</v>
      </c>
      <c r="G937" s="624"/>
      <c r="O937" s="616"/>
      <c r="P937" s="616"/>
      <c r="Q937" s="616"/>
      <c r="AA937" s="624"/>
      <c r="AB937" s="663">
        <v>39049000310</v>
      </c>
      <c r="AC937" s="663" t="s">
        <v>5869</v>
      </c>
      <c r="AD937" s="663" t="s">
        <v>4950</v>
      </c>
      <c r="AE937" s="663" t="s">
        <v>4931</v>
      </c>
      <c r="AF937" s="663" t="s">
        <v>4946</v>
      </c>
    </row>
    <row r="938" spans="1:32" s="608" customFormat="1" x14ac:dyDescent="0.25">
      <c r="A938" s="624"/>
      <c r="B938" s="617">
        <v>39045032200</v>
      </c>
      <c r="C938" s="617" t="s">
        <v>2606</v>
      </c>
      <c r="D938" s="617" t="s">
        <v>47</v>
      </c>
      <c r="E938" s="617" t="s">
        <v>4854</v>
      </c>
      <c r="F938" s="617" t="s">
        <v>24</v>
      </c>
      <c r="G938" s="624"/>
      <c r="O938" s="616"/>
      <c r="P938" s="616"/>
      <c r="Q938" s="616"/>
      <c r="AA938" s="624"/>
      <c r="AB938" s="663">
        <v>39049000320</v>
      </c>
      <c r="AC938" s="663" t="s">
        <v>5870</v>
      </c>
      <c r="AD938" s="663" t="s">
        <v>4948</v>
      </c>
      <c r="AE938" s="663" t="s">
        <v>4928</v>
      </c>
      <c r="AF938" s="663" t="s">
        <v>4946</v>
      </c>
    </row>
    <row r="939" spans="1:32" s="608" customFormat="1" x14ac:dyDescent="0.25">
      <c r="A939" s="624"/>
      <c r="B939" s="617">
        <v>39045032300</v>
      </c>
      <c r="C939" s="617" t="s">
        <v>2607</v>
      </c>
      <c r="D939" s="617" t="s">
        <v>47</v>
      </c>
      <c r="E939" s="617" t="s">
        <v>4854</v>
      </c>
      <c r="F939" s="617" t="s">
        <v>26</v>
      </c>
      <c r="G939" s="624"/>
      <c r="O939" s="616"/>
      <c r="P939" s="616"/>
      <c r="Q939" s="616"/>
      <c r="AA939" s="624"/>
      <c r="AB939" s="663">
        <v>39049000330</v>
      </c>
      <c r="AC939" s="663" t="s">
        <v>5871</v>
      </c>
      <c r="AD939" s="663" t="s">
        <v>4927</v>
      </c>
      <c r="AE939" s="663" t="s">
        <v>4928</v>
      </c>
      <c r="AF939" s="663" t="s">
        <v>4946</v>
      </c>
    </row>
    <row r="940" spans="1:32" s="608" customFormat="1" x14ac:dyDescent="0.25">
      <c r="A940" s="624"/>
      <c r="B940" s="617">
        <v>39045032501</v>
      </c>
      <c r="C940" s="617" t="s">
        <v>2608</v>
      </c>
      <c r="D940" s="617" t="s">
        <v>47</v>
      </c>
      <c r="E940" s="617" t="s">
        <v>4854</v>
      </c>
      <c r="F940" s="617" t="s">
        <v>26</v>
      </c>
      <c r="G940" s="624"/>
      <c r="O940" s="616"/>
      <c r="P940" s="616"/>
      <c r="Q940" s="616"/>
      <c r="AA940" s="624"/>
      <c r="AB940" s="663">
        <v>39049000410</v>
      </c>
      <c r="AC940" s="663" t="s">
        <v>5872</v>
      </c>
      <c r="AD940" s="663" t="s">
        <v>4938</v>
      </c>
      <c r="AE940" s="663" t="s">
        <v>4931</v>
      </c>
      <c r="AF940" s="663" t="s">
        <v>4962</v>
      </c>
    </row>
    <row r="941" spans="1:32" s="608" customFormat="1" x14ac:dyDescent="0.25">
      <c r="A941" s="624"/>
      <c r="B941" s="617">
        <v>39045032502</v>
      </c>
      <c r="C941" s="617" t="s">
        <v>2609</v>
      </c>
      <c r="D941" s="617" t="s">
        <v>47</v>
      </c>
      <c r="E941" s="617" t="s">
        <v>4854</v>
      </c>
      <c r="F941" s="617" t="s">
        <v>26</v>
      </c>
      <c r="G941" s="624"/>
      <c r="O941" s="616"/>
      <c r="P941" s="616"/>
      <c r="Q941" s="616"/>
      <c r="AA941" s="624"/>
      <c r="AB941" s="663">
        <v>39049000420</v>
      </c>
      <c r="AC941" s="663" t="s">
        <v>5873</v>
      </c>
      <c r="AD941" s="663" t="s">
        <v>4938</v>
      </c>
      <c r="AE941" s="663" t="s">
        <v>4934</v>
      </c>
      <c r="AF941" s="663" t="s">
        <v>4962</v>
      </c>
    </row>
    <row r="942" spans="1:32" s="608" customFormat="1" x14ac:dyDescent="0.25">
      <c r="A942" s="624"/>
      <c r="B942" s="617">
        <v>39045032601</v>
      </c>
      <c r="C942" s="617" t="s">
        <v>2610</v>
      </c>
      <c r="D942" s="617" t="s">
        <v>47</v>
      </c>
      <c r="E942" s="617" t="s">
        <v>4854</v>
      </c>
      <c r="F942" s="617" t="s">
        <v>26</v>
      </c>
      <c r="G942" s="624"/>
      <c r="O942" s="616"/>
      <c r="P942" s="616"/>
      <c r="Q942" s="616"/>
      <c r="AA942" s="624"/>
      <c r="AB942" s="663">
        <v>39049000500</v>
      </c>
      <c r="AC942" s="663" t="s">
        <v>5874</v>
      </c>
      <c r="AD942" s="663" t="s">
        <v>4938</v>
      </c>
      <c r="AE942" s="663" t="s">
        <v>4942</v>
      </c>
      <c r="AF942" s="663" t="s">
        <v>4962</v>
      </c>
    </row>
    <row r="943" spans="1:32" s="608" customFormat="1" x14ac:dyDescent="0.25">
      <c r="A943" s="624"/>
      <c r="B943" s="617">
        <v>39045032602</v>
      </c>
      <c r="C943" s="617" t="s">
        <v>2611</v>
      </c>
      <c r="D943" s="617" t="s">
        <v>47</v>
      </c>
      <c r="E943" s="617" t="s">
        <v>4854</v>
      </c>
      <c r="F943" s="617" t="s">
        <v>26</v>
      </c>
      <c r="G943" s="624"/>
      <c r="O943" s="616"/>
      <c r="P943" s="616"/>
      <c r="Q943" s="616"/>
      <c r="AA943" s="624"/>
      <c r="AB943" s="663">
        <v>39049000600</v>
      </c>
      <c r="AC943" s="663" t="s">
        <v>5875</v>
      </c>
      <c r="AD943" s="663" t="s">
        <v>4938</v>
      </c>
      <c r="AE943" s="663" t="s">
        <v>4931</v>
      </c>
      <c r="AF943" s="663" t="s">
        <v>4962</v>
      </c>
    </row>
    <row r="944" spans="1:32" s="608" customFormat="1" x14ac:dyDescent="0.25">
      <c r="A944" s="624"/>
      <c r="B944" s="617">
        <v>39045032701</v>
      </c>
      <c r="C944" s="617" t="s">
        <v>2612</v>
      </c>
      <c r="D944" s="617" t="s">
        <v>47</v>
      </c>
      <c r="E944" s="617" t="s">
        <v>4854</v>
      </c>
      <c r="F944" s="617" t="s">
        <v>26</v>
      </c>
      <c r="G944" s="624"/>
      <c r="O944" s="616"/>
      <c r="P944" s="616"/>
      <c r="Q944" s="616"/>
      <c r="AA944" s="624"/>
      <c r="AB944" s="663">
        <v>39049000710</v>
      </c>
      <c r="AC944" s="663" t="s">
        <v>5876</v>
      </c>
      <c r="AD944" s="663" t="s">
        <v>4948</v>
      </c>
      <c r="AE944" s="663" t="s">
        <v>4931</v>
      </c>
      <c r="AF944" s="663" t="s">
        <v>4962</v>
      </c>
    </row>
    <row r="945" spans="1:32" s="608" customFormat="1" x14ac:dyDescent="0.25">
      <c r="A945" s="624"/>
      <c r="B945" s="617">
        <v>39045032703</v>
      </c>
      <c r="C945" s="617" t="s">
        <v>2613</v>
      </c>
      <c r="D945" s="617" t="s">
        <v>47</v>
      </c>
      <c r="E945" s="617" t="s">
        <v>4854</v>
      </c>
      <c r="F945" s="617" t="s">
        <v>26</v>
      </c>
      <c r="G945" s="624"/>
      <c r="O945" s="616"/>
      <c r="P945" s="616"/>
      <c r="Q945" s="616"/>
      <c r="AA945" s="624"/>
      <c r="AB945" s="663">
        <v>39049000720</v>
      </c>
      <c r="AC945" s="663" t="s">
        <v>5877</v>
      </c>
      <c r="AD945" s="663" t="s">
        <v>4927</v>
      </c>
      <c r="AE945" s="663" t="s">
        <v>4928</v>
      </c>
      <c r="AF945" s="663" t="s">
        <v>4962</v>
      </c>
    </row>
    <row r="946" spans="1:32" s="608" customFormat="1" x14ac:dyDescent="0.25">
      <c r="A946" s="624"/>
      <c r="B946" s="617">
        <v>39045032704</v>
      </c>
      <c r="C946" s="617" t="s">
        <v>2614</v>
      </c>
      <c r="D946" s="617" t="s">
        <v>47</v>
      </c>
      <c r="E946" s="617" t="s">
        <v>4854</v>
      </c>
      <c r="F946" s="617" t="s">
        <v>26</v>
      </c>
      <c r="G946" s="624"/>
      <c r="O946" s="616"/>
      <c r="P946" s="616"/>
      <c r="Q946" s="616"/>
      <c r="AA946" s="624"/>
      <c r="AB946" s="663">
        <v>39049000730</v>
      </c>
      <c r="AC946" s="663" t="s">
        <v>5878</v>
      </c>
      <c r="AD946" s="663" t="s">
        <v>4927</v>
      </c>
      <c r="AE946" s="663" t="s">
        <v>4931</v>
      </c>
      <c r="AF946" s="663" t="s">
        <v>4962</v>
      </c>
    </row>
    <row r="947" spans="1:32" s="608" customFormat="1" x14ac:dyDescent="0.25">
      <c r="A947" s="624"/>
      <c r="B947" s="617">
        <v>39045032800</v>
      </c>
      <c r="C947" s="617" t="s">
        <v>2615</v>
      </c>
      <c r="D947" s="617" t="s">
        <v>47</v>
      </c>
      <c r="E947" s="617" t="s">
        <v>4854</v>
      </c>
      <c r="F947" s="617" t="s">
        <v>26</v>
      </c>
      <c r="G947" s="624"/>
      <c r="O947" s="616"/>
      <c r="P947" s="616"/>
      <c r="Q947" s="616"/>
      <c r="AA947" s="624"/>
      <c r="AB947" s="663">
        <v>39049000810</v>
      </c>
      <c r="AC947" s="663" t="s">
        <v>5879</v>
      </c>
      <c r="AD947" s="663" t="s">
        <v>4941</v>
      </c>
      <c r="AE947" s="663" t="s">
        <v>4928</v>
      </c>
      <c r="AF947" s="663" t="s">
        <v>4962</v>
      </c>
    </row>
    <row r="948" spans="1:32" s="608" customFormat="1" x14ac:dyDescent="0.25">
      <c r="A948" s="624"/>
      <c r="B948" s="617">
        <v>39045032901</v>
      </c>
      <c r="C948" s="617" t="s">
        <v>2616</v>
      </c>
      <c r="D948" s="617" t="s">
        <v>47</v>
      </c>
      <c r="E948" s="617" t="s">
        <v>4854</v>
      </c>
      <c r="F948" s="617" t="s">
        <v>26</v>
      </c>
      <c r="G948" s="624"/>
      <c r="O948" s="616"/>
      <c r="P948" s="616"/>
      <c r="Q948" s="616"/>
      <c r="AA948" s="624"/>
      <c r="AB948" s="663">
        <v>39049000820</v>
      </c>
      <c r="AC948" s="663" t="s">
        <v>5880</v>
      </c>
      <c r="AD948" s="663" t="s">
        <v>4948</v>
      </c>
      <c r="AE948" s="663" t="s">
        <v>4942</v>
      </c>
      <c r="AF948" s="663" t="s">
        <v>4962</v>
      </c>
    </row>
    <row r="949" spans="1:32" s="608" customFormat="1" x14ac:dyDescent="0.25">
      <c r="A949" s="624"/>
      <c r="B949" s="617">
        <v>39045032902</v>
      </c>
      <c r="C949" s="617" t="s">
        <v>2617</v>
      </c>
      <c r="D949" s="617" t="s">
        <v>47</v>
      </c>
      <c r="E949" s="617" t="s">
        <v>4854</v>
      </c>
      <c r="F949" s="617" t="s">
        <v>26</v>
      </c>
      <c r="G949" s="624"/>
      <c r="O949" s="616"/>
      <c r="P949" s="616"/>
      <c r="Q949" s="616"/>
      <c r="AA949" s="624"/>
      <c r="AB949" s="663">
        <v>39049000910</v>
      </c>
      <c r="AC949" s="663" t="s">
        <v>5881</v>
      </c>
      <c r="AD949" s="663" t="s">
        <v>4950</v>
      </c>
      <c r="AE949" s="663" t="s">
        <v>4934</v>
      </c>
      <c r="AF949" s="663" t="s">
        <v>4962</v>
      </c>
    </row>
    <row r="950" spans="1:32" s="608" customFormat="1" x14ac:dyDescent="0.25">
      <c r="A950" s="624"/>
      <c r="B950" s="617">
        <v>39045033000</v>
      </c>
      <c r="C950" s="617" t="s">
        <v>2618</v>
      </c>
      <c r="D950" s="617" t="s">
        <v>47</v>
      </c>
      <c r="E950" s="617" t="s">
        <v>4854</v>
      </c>
      <c r="F950" s="617" t="s">
        <v>26</v>
      </c>
      <c r="G950" s="624"/>
      <c r="O950" s="616"/>
      <c r="P950" s="616"/>
      <c r="Q950" s="616"/>
      <c r="AA950" s="624"/>
      <c r="AB950" s="663">
        <v>39049000920</v>
      </c>
      <c r="AC950" s="663" t="s">
        <v>5882</v>
      </c>
      <c r="AD950" s="663" t="s">
        <v>4950</v>
      </c>
      <c r="AE950" s="663" t="s">
        <v>4939</v>
      </c>
      <c r="AF950" s="663" t="s">
        <v>4962</v>
      </c>
    </row>
    <row r="951" spans="1:32" s="608" customFormat="1" x14ac:dyDescent="0.25">
      <c r="A951" s="624"/>
      <c r="B951" s="617">
        <v>39045033101</v>
      </c>
      <c r="C951" s="617" t="s">
        <v>2619</v>
      </c>
      <c r="D951" s="617" t="s">
        <v>47</v>
      </c>
      <c r="E951" s="617" t="s">
        <v>4854</v>
      </c>
      <c r="F951" s="617" t="s">
        <v>26</v>
      </c>
      <c r="G951" s="624"/>
      <c r="O951" s="616"/>
      <c r="P951" s="616"/>
      <c r="Q951" s="616"/>
      <c r="AA951" s="624"/>
      <c r="AB951" s="663">
        <v>39049001000</v>
      </c>
      <c r="AC951" s="663" t="s">
        <v>5883</v>
      </c>
      <c r="AD951" s="663" t="s">
        <v>4938</v>
      </c>
      <c r="AE951" s="663" t="s">
        <v>5332</v>
      </c>
      <c r="AF951" s="663" t="s">
        <v>4962</v>
      </c>
    </row>
    <row r="952" spans="1:32" s="608" customFormat="1" x14ac:dyDescent="0.25">
      <c r="A952" s="624"/>
      <c r="B952" s="617">
        <v>39045033102</v>
      </c>
      <c r="C952" s="617" t="s">
        <v>2620</v>
      </c>
      <c r="D952" s="617" t="s">
        <v>47</v>
      </c>
      <c r="E952" s="617" t="s">
        <v>4854</v>
      </c>
      <c r="F952" s="617" t="s">
        <v>26</v>
      </c>
      <c r="G952" s="624"/>
      <c r="O952" s="616"/>
      <c r="P952" s="616"/>
      <c r="Q952" s="616"/>
      <c r="AA952" s="624"/>
      <c r="AB952" s="663">
        <v>39049001110</v>
      </c>
      <c r="AC952" s="663" t="s">
        <v>5884</v>
      </c>
      <c r="AD952" s="663" t="s">
        <v>4938</v>
      </c>
      <c r="AE952" s="663" t="s">
        <v>4939</v>
      </c>
      <c r="AF952" s="663" t="s">
        <v>4962</v>
      </c>
    </row>
    <row r="953" spans="1:32" s="608" customFormat="1" x14ac:dyDescent="0.25">
      <c r="A953" s="624"/>
      <c r="B953" s="617">
        <v>39047925800</v>
      </c>
      <c r="C953" s="617" t="s">
        <v>2621</v>
      </c>
      <c r="D953" s="617" t="s">
        <v>48</v>
      </c>
      <c r="E953" s="617" t="s">
        <v>1672</v>
      </c>
      <c r="F953" s="617" t="s">
        <v>26</v>
      </c>
      <c r="G953" s="624"/>
      <c r="O953" s="616"/>
      <c r="P953" s="616"/>
      <c r="Q953" s="616"/>
      <c r="AA953" s="624"/>
      <c r="AB953" s="663">
        <v>39049001121</v>
      </c>
      <c r="AC953" s="663" t="s">
        <v>5885</v>
      </c>
      <c r="AD953" s="663" t="s">
        <v>4938</v>
      </c>
      <c r="AE953" s="663"/>
      <c r="AF953" s="663" t="s">
        <v>4962</v>
      </c>
    </row>
    <row r="954" spans="1:32" s="608" customFormat="1" x14ac:dyDescent="0.25">
      <c r="A954" s="624"/>
      <c r="B954" s="617">
        <v>39047925900</v>
      </c>
      <c r="C954" s="617" t="s">
        <v>2622</v>
      </c>
      <c r="D954" s="617" t="s">
        <v>48</v>
      </c>
      <c r="E954" s="617" t="s">
        <v>1672</v>
      </c>
      <c r="F954" s="617" t="s">
        <v>26</v>
      </c>
      <c r="G954" s="624"/>
      <c r="O954" s="616"/>
      <c r="P954" s="616"/>
      <c r="Q954" s="616"/>
      <c r="AA954" s="624"/>
      <c r="AB954" s="663">
        <v>39049001122</v>
      </c>
      <c r="AC954" s="663" t="s">
        <v>5886</v>
      </c>
      <c r="AD954" s="663" t="s">
        <v>4941</v>
      </c>
      <c r="AE954" s="663" t="s">
        <v>4939</v>
      </c>
      <c r="AF954" s="663" t="s">
        <v>4946</v>
      </c>
    </row>
    <row r="955" spans="1:32" s="608" customFormat="1" x14ac:dyDescent="0.25">
      <c r="A955" s="624"/>
      <c r="B955" s="617">
        <v>39047926000</v>
      </c>
      <c r="C955" s="617" t="s">
        <v>2623</v>
      </c>
      <c r="D955" s="617" t="s">
        <v>48</v>
      </c>
      <c r="E955" s="617" t="s">
        <v>1672</v>
      </c>
      <c r="F955" s="617" t="s">
        <v>26</v>
      </c>
      <c r="G955" s="624"/>
      <c r="O955" s="616"/>
      <c r="P955" s="616"/>
      <c r="Q955" s="616"/>
      <c r="AA955" s="624"/>
      <c r="AB955" s="663">
        <v>39049001200</v>
      </c>
      <c r="AC955" s="663" t="s">
        <v>5887</v>
      </c>
      <c r="AD955" s="663" t="s">
        <v>4938</v>
      </c>
      <c r="AE955" s="663" t="s">
        <v>5332</v>
      </c>
      <c r="AF955" s="663" t="s">
        <v>4962</v>
      </c>
    </row>
    <row r="956" spans="1:32" s="608" customFormat="1" x14ac:dyDescent="0.25">
      <c r="A956" s="624"/>
      <c r="B956" s="617">
        <v>39047926100</v>
      </c>
      <c r="C956" s="617" t="s">
        <v>2624</v>
      </c>
      <c r="D956" s="617" t="s">
        <v>48</v>
      </c>
      <c r="E956" s="617" t="s">
        <v>1672</v>
      </c>
      <c r="F956" s="617" t="s">
        <v>26</v>
      </c>
      <c r="G956" s="624"/>
      <c r="O956" s="616"/>
      <c r="P956" s="616"/>
      <c r="Q956" s="616"/>
      <c r="AA956" s="624"/>
      <c r="AB956" s="663">
        <v>39049001300</v>
      </c>
      <c r="AC956" s="663" t="s">
        <v>5888</v>
      </c>
      <c r="AD956" s="663" t="s">
        <v>4938</v>
      </c>
      <c r="AE956" s="663" t="s">
        <v>4942</v>
      </c>
      <c r="AF956" s="663" t="s">
        <v>4962</v>
      </c>
    </row>
    <row r="957" spans="1:32" s="608" customFormat="1" x14ac:dyDescent="0.25">
      <c r="A957" s="624"/>
      <c r="B957" s="617">
        <v>39047926200</v>
      </c>
      <c r="C957" s="617" t="s">
        <v>2625</v>
      </c>
      <c r="D957" s="617" t="s">
        <v>48</v>
      </c>
      <c r="E957" s="617" t="s">
        <v>1672</v>
      </c>
      <c r="F957" s="617" t="s">
        <v>26</v>
      </c>
      <c r="G957" s="624"/>
      <c r="O957" s="616"/>
      <c r="P957" s="616"/>
      <c r="Q957" s="616"/>
      <c r="AA957" s="624"/>
      <c r="AB957" s="663">
        <v>39049001400</v>
      </c>
      <c r="AC957" s="663" t="s">
        <v>5889</v>
      </c>
      <c r="AD957" s="663" t="s">
        <v>4927</v>
      </c>
      <c r="AE957" s="663" t="s">
        <v>4934</v>
      </c>
      <c r="AF957" s="663" t="s">
        <v>4962</v>
      </c>
    </row>
    <row r="958" spans="1:32" s="608" customFormat="1" x14ac:dyDescent="0.25">
      <c r="A958" s="624"/>
      <c r="B958" s="617">
        <v>39047926300</v>
      </c>
      <c r="C958" s="617" t="s">
        <v>2626</v>
      </c>
      <c r="D958" s="617" t="s">
        <v>48</v>
      </c>
      <c r="E958" s="617" t="s">
        <v>1672</v>
      </c>
      <c r="F958" s="617" t="s">
        <v>26</v>
      </c>
      <c r="G958" s="624"/>
      <c r="O958" s="616"/>
      <c r="P958" s="616"/>
      <c r="Q958" s="616"/>
      <c r="AA958" s="624"/>
      <c r="AB958" s="663">
        <v>39049001500</v>
      </c>
      <c r="AC958" s="663" t="s">
        <v>5890</v>
      </c>
      <c r="AD958" s="663" t="s">
        <v>4927</v>
      </c>
      <c r="AE958" s="663" t="s">
        <v>4939</v>
      </c>
      <c r="AF958" s="663" t="s">
        <v>4962</v>
      </c>
    </row>
    <row r="959" spans="1:32" s="608" customFormat="1" x14ac:dyDescent="0.25">
      <c r="A959" s="624"/>
      <c r="B959" s="617">
        <v>39047926400</v>
      </c>
      <c r="C959" s="617" t="s">
        <v>2627</v>
      </c>
      <c r="D959" s="617" t="s">
        <v>48</v>
      </c>
      <c r="E959" s="617" t="s">
        <v>1672</v>
      </c>
      <c r="F959" s="617" t="s">
        <v>26</v>
      </c>
      <c r="G959" s="624"/>
      <c r="O959" s="616"/>
      <c r="P959" s="616"/>
      <c r="Q959" s="616"/>
      <c r="AA959" s="624"/>
      <c r="AB959" s="663">
        <v>39049001600</v>
      </c>
      <c r="AC959" s="663" t="s">
        <v>5891</v>
      </c>
      <c r="AD959" s="663" t="s">
        <v>4938</v>
      </c>
      <c r="AE959" s="663" t="s">
        <v>4939</v>
      </c>
      <c r="AF959" s="663" t="s">
        <v>4962</v>
      </c>
    </row>
    <row r="960" spans="1:32" s="608" customFormat="1" x14ac:dyDescent="0.25">
      <c r="A960" s="624"/>
      <c r="B960" s="617">
        <v>39049000110</v>
      </c>
      <c r="C960" s="617" t="s">
        <v>2628</v>
      </c>
      <c r="D960" s="617" t="s">
        <v>49</v>
      </c>
      <c r="E960" s="617" t="s">
        <v>4854</v>
      </c>
      <c r="F960" s="617" t="s">
        <v>26</v>
      </c>
      <c r="G960" s="624"/>
      <c r="O960" s="616"/>
      <c r="P960" s="616"/>
      <c r="Q960" s="616"/>
      <c r="AA960" s="624"/>
      <c r="AB960" s="663">
        <v>39049001700</v>
      </c>
      <c r="AC960" s="663" t="s">
        <v>5892</v>
      </c>
      <c r="AD960" s="663" t="s">
        <v>4938</v>
      </c>
      <c r="AE960" s="663" t="s">
        <v>5332</v>
      </c>
      <c r="AF960" s="663" t="s">
        <v>4962</v>
      </c>
    </row>
    <row r="961" spans="1:32" s="608" customFormat="1" x14ac:dyDescent="0.25">
      <c r="A961" s="624"/>
      <c r="B961" s="617">
        <v>39049000120</v>
      </c>
      <c r="C961" s="617" t="s">
        <v>2629</v>
      </c>
      <c r="D961" s="617" t="s">
        <v>49</v>
      </c>
      <c r="E961" s="617" t="s">
        <v>4854</v>
      </c>
      <c r="F961" s="617" t="s">
        <v>26</v>
      </c>
      <c r="G961" s="624"/>
      <c r="O961" s="616"/>
      <c r="P961" s="616"/>
      <c r="Q961" s="616"/>
      <c r="AA961" s="624"/>
      <c r="AB961" s="663">
        <v>39049001810</v>
      </c>
      <c r="AC961" s="663" t="s">
        <v>5893</v>
      </c>
      <c r="AD961" s="663" t="s">
        <v>4938</v>
      </c>
      <c r="AE961" s="663" t="s">
        <v>4939</v>
      </c>
      <c r="AF961" s="663" t="s">
        <v>4962</v>
      </c>
    </row>
    <row r="962" spans="1:32" s="608" customFormat="1" x14ac:dyDescent="0.25">
      <c r="A962" s="624"/>
      <c r="B962" s="617">
        <v>39049000210</v>
      </c>
      <c r="C962" s="617" t="s">
        <v>2630</v>
      </c>
      <c r="D962" s="617" t="s">
        <v>49</v>
      </c>
      <c r="E962" s="617" t="s">
        <v>4854</v>
      </c>
      <c r="F962" s="617" t="s">
        <v>26</v>
      </c>
      <c r="G962" s="624"/>
      <c r="O962" s="616"/>
      <c r="P962" s="616"/>
      <c r="Q962" s="616"/>
      <c r="AA962" s="624"/>
      <c r="AB962" s="663">
        <v>39049001820</v>
      </c>
      <c r="AC962" s="663" t="s">
        <v>5894</v>
      </c>
      <c r="AD962" s="663" t="s">
        <v>4938</v>
      </c>
      <c r="AE962" s="663" t="s">
        <v>4931</v>
      </c>
      <c r="AF962" s="663" t="s">
        <v>4962</v>
      </c>
    </row>
    <row r="963" spans="1:32" s="608" customFormat="1" x14ac:dyDescent="0.25">
      <c r="A963" s="624"/>
      <c r="B963" s="617">
        <v>39049000220</v>
      </c>
      <c r="C963" s="617" t="s">
        <v>2631</v>
      </c>
      <c r="D963" s="617" t="s">
        <v>49</v>
      </c>
      <c r="E963" s="617" t="s">
        <v>4854</v>
      </c>
      <c r="F963" s="617" t="s">
        <v>26</v>
      </c>
      <c r="G963" s="624"/>
      <c r="O963" s="616"/>
      <c r="P963" s="616"/>
      <c r="Q963" s="616"/>
      <c r="AA963" s="624"/>
      <c r="AB963" s="663">
        <v>39049001901</v>
      </c>
      <c r="AC963" s="663" t="s">
        <v>5895</v>
      </c>
      <c r="AD963" s="663" t="s">
        <v>4938</v>
      </c>
      <c r="AE963" s="663" t="s">
        <v>4931</v>
      </c>
      <c r="AF963" s="663" t="s">
        <v>4962</v>
      </c>
    </row>
    <row r="964" spans="1:32" s="608" customFormat="1" x14ac:dyDescent="0.25">
      <c r="A964" s="624"/>
      <c r="B964" s="617">
        <v>39049000310</v>
      </c>
      <c r="C964" s="617" t="s">
        <v>2632</v>
      </c>
      <c r="D964" s="617" t="s">
        <v>49</v>
      </c>
      <c r="E964" s="617" t="s">
        <v>4854</v>
      </c>
      <c r="F964" s="617" t="s">
        <v>26</v>
      </c>
      <c r="G964" s="624"/>
      <c r="O964" s="616"/>
      <c r="P964" s="616"/>
      <c r="Q964" s="616"/>
      <c r="AA964" s="624"/>
      <c r="AB964" s="663">
        <v>39049001902</v>
      </c>
      <c r="AC964" s="663" t="s">
        <v>5896</v>
      </c>
      <c r="AD964" s="663" t="s">
        <v>4938</v>
      </c>
      <c r="AE964" s="663" t="s">
        <v>4939</v>
      </c>
      <c r="AF964" s="663" t="s">
        <v>4962</v>
      </c>
    </row>
    <row r="965" spans="1:32" s="608" customFormat="1" x14ac:dyDescent="0.25">
      <c r="A965" s="624"/>
      <c r="B965" s="617">
        <v>39049000320</v>
      </c>
      <c r="C965" s="617" t="s">
        <v>2633</v>
      </c>
      <c r="D965" s="617" t="s">
        <v>49</v>
      </c>
      <c r="E965" s="617" t="s">
        <v>4854</v>
      </c>
      <c r="F965" s="617" t="s">
        <v>26</v>
      </c>
      <c r="G965" s="624"/>
      <c r="O965" s="616"/>
      <c r="P965" s="616"/>
      <c r="Q965" s="616"/>
      <c r="AA965" s="624"/>
      <c r="AB965" s="663">
        <v>39049002000</v>
      </c>
      <c r="AC965" s="663" t="s">
        <v>5897</v>
      </c>
      <c r="AD965" s="663" t="s">
        <v>4938</v>
      </c>
      <c r="AE965" s="663" t="s">
        <v>4931</v>
      </c>
      <c r="AF965" s="663" t="s">
        <v>4962</v>
      </c>
    </row>
    <row r="966" spans="1:32" s="608" customFormat="1" x14ac:dyDescent="0.25">
      <c r="A966" s="624"/>
      <c r="B966" s="617">
        <v>39049000330</v>
      </c>
      <c r="C966" s="617" t="s">
        <v>2634</v>
      </c>
      <c r="D966" s="617" t="s">
        <v>49</v>
      </c>
      <c r="E966" s="617" t="s">
        <v>4854</v>
      </c>
      <c r="F966" s="617" t="s">
        <v>24</v>
      </c>
      <c r="G966" s="624"/>
      <c r="O966" s="616"/>
      <c r="P966" s="616"/>
      <c r="Q966" s="616"/>
      <c r="AA966" s="624"/>
      <c r="AB966" s="663">
        <v>39049002100</v>
      </c>
      <c r="AC966" s="663" t="s">
        <v>5898</v>
      </c>
      <c r="AD966" s="663" t="s">
        <v>4938</v>
      </c>
      <c r="AE966" s="663" t="s">
        <v>4939</v>
      </c>
      <c r="AF966" s="663" t="s">
        <v>4962</v>
      </c>
    </row>
    <row r="967" spans="1:32" s="608" customFormat="1" x14ac:dyDescent="0.25">
      <c r="A967" s="624"/>
      <c r="B967" s="617">
        <v>39049000410</v>
      </c>
      <c r="C967" s="617" t="s">
        <v>2635</v>
      </c>
      <c r="D967" s="617" t="s">
        <v>49</v>
      </c>
      <c r="E967" s="617" t="s">
        <v>4854</v>
      </c>
      <c r="F967" s="617" t="s">
        <v>26</v>
      </c>
      <c r="G967" s="624"/>
      <c r="O967" s="616"/>
      <c r="P967" s="616"/>
      <c r="Q967" s="616"/>
      <c r="AA967" s="624"/>
      <c r="AB967" s="663">
        <v>39049002200</v>
      </c>
      <c r="AC967" s="663" t="s">
        <v>5899</v>
      </c>
      <c r="AD967" s="663" t="s">
        <v>4938</v>
      </c>
      <c r="AE967" s="663" t="s">
        <v>4939</v>
      </c>
      <c r="AF967" s="663" t="s">
        <v>4962</v>
      </c>
    </row>
    <row r="968" spans="1:32" s="608" customFormat="1" x14ac:dyDescent="0.25">
      <c r="A968" s="624"/>
      <c r="B968" s="617">
        <v>39049000420</v>
      </c>
      <c r="C968" s="617" t="s">
        <v>2636</v>
      </c>
      <c r="D968" s="617" t="s">
        <v>49</v>
      </c>
      <c r="E968" s="617" t="s">
        <v>4854</v>
      </c>
      <c r="F968" s="617" t="s">
        <v>26</v>
      </c>
      <c r="G968" s="624"/>
      <c r="O968" s="616"/>
      <c r="P968" s="616"/>
      <c r="Q968" s="616"/>
      <c r="AA968" s="624"/>
      <c r="AB968" s="663">
        <v>39049002300</v>
      </c>
      <c r="AC968" s="663" t="s">
        <v>5900</v>
      </c>
      <c r="AD968" s="663" t="s">
        <v>4950</v>
      </c>
      <c r="AE968" s="663" t="s">
        <v>4939</v>
      </c>
      <c r="AF968" s="663" t="s">
        <v>4962</v>
      </c>
    </row>
    <row r="969" spans="1:32" s="608" customFormat="1" x14ac:dyDescent="0.25">
      <c r="A969" s="624"/>
      <c r="B969" s="617">
        <v>39049000500</v>
      </c>
      <c r="C969" s="617" t="s">
        <v>2637</v>
      </c>
      <c r="D969" s="617" t="s">
        <v>49</v>
      </c>
      <c r="E969" s="617" t="s">
        <v>4854</v>
      </c>
      <c r="F969" s="617" t="s">
        <v>26</v>
      </c>
      <c r="G969" s="624"/>
      <c r="O969" s="616"/>
      <c r="P969" s="616"/>
      <c r="Q969" s="616"/>
      <c r="AA969" s="624"/>
      <c r="AB969" s="663">
        <v>39049002510</v>
      </c>
      <c r="AC969" s="663" t="s">
        <v>5901</v>
      </c>
      <c r="AD969" s="663" t="s">
        <v>4927</v>
      </c>
      <c r="AE969" s="663" t="s">
        <v>4931</v>
      </c>
      <c r="AF969" s="663" t="s">
        <v>4946</v>
      </c>
    </row>
    <row r="970" spans="1:32" s="608" customFormat="1" x14ac:dyDescent="0.25">
      <c r="A970" s="624"/>
      <c r="B970" s="617">
        <v>39049000600</v>
      </c>
      <c r="C970" s="617" t="s">
        <v>2638</v>
      </c>
      <c r="D970" s="617" t="s">
        <v>49</v>
      </c>
      <c r="E970" s="617" t="s">
        <v>4854</v>
      </c>
      <c r="F970" s="617" t="s">
        <v>26</v>
      </c>
      <c r="G970" s="624"/>
      <c r="O970" s="616"/>
      <c r="P970" s="616"/>
      <c r="Q970" s="616"/>
      <c r="AA970" s="624"/>
      <c r="AB970" s="663">
        <v>39049002520</v>
      </c>
      <c r="AC970" s="663" t="s">
        <v>5902</v>
      </c>
      <c r="AD970" s="663" t="s">
        <v>4948</v>
      </c>
      <c r="AE970" s="663" t="s">
        <v>4939</v>
      </c>
      <c r="AF970" s="663" t="s">
        <v>4962</v>
      </c>
    </row>
    <row r="971" spans="1:32" s="608" customFormat="1" x14ac:dyDescent="0.25">
      <c r="A971" s="624"/>
      <c r="B971" s="617">
        <v>39049000710</v>
      </c>
      <c r="C971" s="617" t="s">
        <v>2639</v>
      </c>
      <c r="D971" s="617" t="s">
        <v>49</v>
      </c>
      <c r="E971" s="617" t="s">
        <v>4854</v>
      </c>
      <c r="F971" s="617" t="s">
        <v>24</v>
      </c>
      <c r="G971" s="624"/>
      <c r="O971" s="616"/>
      <c r="P971" s="616"/>
      <c r="Q971" s="616"/>
      <c r="AA971" s="624"/>
      <c r="AB971" s="663">
        <v>39049002600</v>
      </c>
      <c r="AC971" s="663" t="s">
        <v>5903</v>
      </c>
      <c r="AD971" s="663" t="s">
        <v>4927</v>
      </c>
      <c r="AE971" s="663" t="s">
        <v>4928</v>
      </c>
      <c r="AF971" s="663" t="s">
        <v>4946</v>
      </c>
    </row>
    <row r="972" spans="1:32" s="608" customFormat="1" x14ac:dyDescent="0.25">
      <c r="A972" s="624"/>
      <c r="B972" s="617">
        <v>39049000720</v>
      </c>
      <c r="C972" s="617" t="s">
        <v>2640</v>
      </c>
      <c r="D972" s="617" t="s">
        <v>49</v>
      </c>
      <c r="E972" s="617" t="s">
        <v>4854</v>
      </c>
      <c r="F972" s="617" t="s">
        <v>24</v>
      </c>
      <c r="G972" s="624"/>
      <c r="O972" s="616"/>
      <c r="P972" s="616"/>
      <c r="Q972" s="616"/>
      <c r="AA972" s="624"/>
      <c r="AB972" s="663">
        <v>39049002710</v>
      </c>
      <c r="AC972" s="663" t="s">
        <v>5904</v>
      </c>
      <c r="AD972" s="663" t="s">
        <v>4927</v>
      </c>
      <c r="AE972" s="663" t="s">
        <v>4931</v>
      </c>
      <c r="AF972" s="663" t="s">
        <v>4946</v>
      </c>
    </row>
    <row r="973" spans="1:32" s="608" customFormat="1" x14ac:dyDescent="0.25">
      <c r="A973" s="624"/>
      <c r="B973" s="617">
        <v>39049000730</v>
      </c>
      <c r="C973" s="617" t="s">
        <v>2641</v>
      </c>
      <c r="D973" s="617" t="s">
        <v>49</v>
      </c>
      <c r="E973" s="617" t="s">
        <v>4854</v>
      </c>
      <c r="F973" s="617" t="s">
        <v>24</v>
      </c>
      <c r="G973" s="624"/>
      <c r="O973" s="616"/>
      <c r="P973" s="616"/>
      <c r="Q973" s="616"/>
      <c r="AA973" s="624"/>
      <c r="AB973" s="663">
        <v>39049002730</v>
      </c>
      <c r="AC973" s="663" t="s">
        <v>5905</v>
      </c>
      <c r="AD973" s="663" t="s">
        <v>4927</v>
      </c>
      <c r="AE973" s="663" t="s">
        <v>4942</v>
      </c>
      <c r="AF973" s="663" t="s">
        <v>4946</v>
      </c>
    </row>
    <row r="974" spans="1:32" s="608" customFormat="1" x14ac:dyDescent="0.25">
      <c r="A974" s="624"/>
      <c r="B974" s="617">
        <v>39049000810</v>
      </c>
      <c r="C974" s="617" t="s">
        <v>2642</v>
      </c>
      <c r="D974" s="617" t="s">
        <v>49</v>
      </c>
      <c r="E974" s="617" t="s">
        <v>4854</v>
      </c>
      <c r="F974" s="617" t="s">
        <v>24</v>
      </c>
      <c r="G974" s="624"/>
      <c r="O974" s="616"/>
      <c r="P974" s="616"/>
      <c r="Q974" s="616"/>
      <c r="AA974" s="624"/>
      <c r="AB974" s="663">
        <v>39049002740</v>
      </c>
      <c r="AC974" s="663" t="s">
        <v>5906</v>
      </c>
      <c r="AD974" s="663" t="s">
        <v>4941</v>
      </c>
      <c r="AE974" s="663" t="s">
        <v>4931</v>
      </c>
      <c r="AF974" s="663" t="s">
        <v>4946</v>
      </c>
    </row>
    <row r="975" spans="1:32" s="608" customFormat="1" x14ac:dyDescent="0.25">
      <c r="A975" s="624"/>
      <c r="B975" s="617">
        <v>39049000820</v>
      </c>
      <c r="C975" s="617" t="s">
        <v>2643</v>
      </c>
      <c r="D975" s="617" t="s">
        <v>49</v>
      </c>
      <c r="E975" s="617" t="s">
        <v>4854</v>
      </c>
      <c r="F975" s="617" t="s">
        <v>24</v>
      </c>
      <c r="G975" s="624"/>
      <c r="O975" s="616"/>
      <c r="P975" s="616"/>
      <c r="Q975" s="616"/>
      <c r="AA975" s="624"/>
      <c r="AB975" s="663">
        <v>39049002750</v>
      </c>
      <c r="AC975" s="663" t="s">
        <v>5907</v>
      </c>
      <c r="AD975" s="663" t="s">
        <v>4927</v>
      </c>
      <c r="AE975" s="663" t="s">
        <v>4942</v>
      </c>
      <c r="AF975" s="663" t="s">
        <v>4946</v>
      </c>
    </row>
    <row r="976" spans="1:32" s="608" customFormat="1" x14ac:dyDescent="0.25">
      <c r="A976" s="624"/>
      <c r="B976" s="617">
        <v>39049000910</v>
      </c>
      <c r="C976" s="617" t="s">
        <v>2644</v>
      </c>
      <c r="D976" s="617" t="s">
        <v>49</v>
      </c>
      <c r="E976" s="617" t="s">
        <v>4854</v>
      </c>
      <c r="F976" s="617" t="s">
        <v>24</v>
      </c>
      <c r="G976" s="624"/>
      <c r="O976" s="616"/>
      <c r="P976" s="616"/>
      <c r="Q976" s="616"/>
      <c r="AA976" s="624"/>
      <c r="AB976" s="663">
        <v>39049002760</v>
      </c>
      <c r="AC976" s="663" t="s">
        <v>5908</v>
      </c>
      <c r="AD976" s="663" t="s">
        <v>4927</v>
      </c>
      <c r="AE976" s="663" t="s">
        <v>4942</v>
      </c>
      <c r="AF976" s="663" t="s">
        <v>4946</v>
      </c>
    </row>
    <row r="977" spans="1:32" s="608" customFormat="1" x14ac:dyDescent="0.25">
      <c r="A977" s="624"/>
      <c r="B977" s="617">
        <v>39049000920</v>
      </c>
      <c r="C977" s="617" t="s">
        <v>2645</v>
      </c>
      <c r="D977" s="617" t="s">
        <v>49</v>
      </c>
      <c r="E977" s="617" t="s">
        <v>4854</v>
      </c>
      <c r="F977" s="617" t="s">
        <v>24</v>
      </c>
      <c r="G977" s="624"/>
      <c r="O977" s="616"/>
      <c r="P977" s="616"/>
      <c r="Q977" s="616"/>
      <c r="AA977" s="624"/>
      <c r="AB977" s="663">
        <v>39049002770</v>
      </c>
      <c r="AC977" s="663" t="s">
        <v>5909</v>
      </c>
      <c r="AD977" s="663" t="s">
        <v>4927</v>
      </c>
      <c r="AE977" s="663" t="s">
        <v>4942</v>
      </c>
      <c r="AF977" s="663" t="s">
        <v>4946</v>
      </c>
    </row>
    <row r="978" spans="1:32" s="608" customFormat="1" x14ac:dyDescent="0.25">
      <c r="A978" s="624"/>
      <c r="B978" s="617">
        <v>39049001000</v>
      </c>
      <c r="C978" s="617" t="s">
        <v>2646</v>
      </c>
      <c r="D978" s="617" t="s">
        <v>49</v>
      </c>
      <c r="E978" s="617" t="s">
        <v>4854</v>
      </c>
      <c r="F978" s="617" t="s">
        <v>24</v>
      </c>
      <c r="G978" s="624"/>
      <c r="O978" s="616"/>
      <c r="P978" s="616"/>
      <c r="Q978" s="616"/>
      <c r="AA978" s="624"/>
      <c r="AB978" s="663">
        <v>39049002780</v>
      </c>
      <c r="AC978" s="663" t="s">
        <v>5910</v>
      </c>
      <c r="AD978" s="663" t="s">
        <v>4938</v>
      </c>
      <c r="AE978" s="663" t="s">
        <v>4939</v>
      </c>
      <c r="AF978" s="663" t="s">
        <v>4946</v>
      </c>
    </row>
    <row r="979" spans="1:32" s="608" customFormat="1" x14ac:dyDescent="0.25">
      <c r="A979" s="624"/>
      <c r="B979" s="617">
        <v>39049001110</v>
      </c>
      <c r="C979" s="617" t="s">
        <v>2647</v>
      </c>
      <c r="D979" s="617" t="s">
        <v>49</v>
      </c>
      <c r="E979" s="617" t="s">
        <v>4854</v>
      </c>
      <c r="F979" s="617" t="s">
        <v>24</v>
      </c>
      <c r="G979" s="624"/>
      <c r="O979" s="616"/>
      <c r="P979" s="616"/>
      <c r="Q979" s="616"/>
      <c r="AA979" s="624"/>
      <c r="AB979" s="663">
        <v>39049002800</v>
      </c>
      <c r="AC979" s="663" t="s">
        <v>5911</v>
      </c>
      <c r="AD979" s="663" t="s">
        <v>4950</v>
      </c>
      <c r="AE979" s="663" t="s">
        <v>4931</v>
      </c>
      <c r="AF979" s="663" t="s">
        <v>4962</v>
      </c>
    </row>
    <row r="980" spans="1:32" s="608" customFormat="1" x14ac:dyDescent="0.25">
      <c r="A980" s="624"/>
      <c r="B980" s="617">
        <v>39049001121</v>
      </c>
      <c r="C980" s="617" t="s">
        <v>2648</v>
      </c>
      <c r="D980" s="617" t="s">
        <v>49</v>
      </c>
      <c r="E980" s="617" t="s">
        <v>4854</v>
      </c>
      <c r="F980" s="617" t="s">
        <v>26</v>
      </c>
      <c r="G980" s="624"/>
      <c r="O980" s="616"/>
      <c r="P980" s="616"/>
      <c r="Q980" s="616"/>
      <c r="AA980" s="624"/>
      <c r="AB980" s="663">
        <v>39049002900</v>
      </c>
      <c r="AC980" s="663" t="s">
        <v>5912</v>
      </c>
      <c r="AD980" s="663" t="s">
        <v>4927</v>
      </c>
      <c r="AE980" s="663" t="s">
        <v>4934</v>
      </c>
      <c r="AF980" s="663" t="s">
        <v>4962</v>
      </c>
    </row>
    <row r="981" spans="1:32" s="608" customFormat="1" x14ac:dyDescent="0.25">
      <c r="A981" s="624"/>
      <c r="B981" s="617">
        <v>39049001122</v>
      </c>
      <c r="C981" s="617" t="s">
        <v>2649</v>
      </c>
      <c r="D981" s="617" t="s">
        <v>49</v>
      </c>
      <c r="E981" s="617" t="s">
        <v>4854</v>
      </c>
      <c r="F981" s="617" t="s">
        <v>24</v>
      </c>
      <c r="G981" s="624"/>
      <c r="O981" s="616"/>
      <c r="P981" s="616"/>
      <c r="Q981" s="616"/>
      <c r="AA981" s="624"/>
      <c r="AB981" s="663">
        <v>39049003000</v>
      </c>
      <c r="AC981" s="663" t="s">
        <v>5913</v>
      </c>
      <c r="AD981" s="663" t="s">
        <v>4938</v>
      </c>
      <c r="AE981" s="663" t="s">
        <v>4939</v>
      </c>
      <c r="AF981" s="663" t="s">
        <v>4962</v>
      </c>
    </row>
    <row r="982" spans="1:32" s="608" customFormat="1" x14ac:dyDescent="0.25">
      <c r="A982" s="624"/>
      <c r="B982" s="617">
        <v>39049001200</v>
      </c>
      <c r="C982" s="617" t="s">
        <v>2650</v>
      </c>
      <c r="D982" s="617" t="s">
        <v>49</v>
      </c>
      <c r="E982" s="617" t="s">
        <v>4854</v>
      </c>
      <c r="F982" s="617" t="s">
        <v>24</v>
      </c>
      <c r="G982" s="624"/>
      <c r="O982" s="616"/>
      <c r="P982" s="616"/>
      <c r="Q982" s="616"/>
      <c r="AA982" s="624"/>
      <c r="AB982" s="663">
        <v>39049003200</v>
      </c>
      <c r="AC982" s="663" t="s">
        <v>5914</v>
      </c>
      <c r="AD982" s="663" t="s">
        <v>4938</v>
      </c>
      <c r="AE982" s="663" t="s">
        <v>4939</v>
      </c>
      <c r="AF982" s="663" t="s">
        <v>4962</v>
      </c>
    </row>
    <row r="983" spans="1:32" s="608" customFormat="1" x14ac:dyDescent="0.25">
      <c r="A983" s="624"/>
      <c r="B983" s="617">
        <v>39049001301</v>
      </c>
      <c r="C983" s="617" t="s">
        <v>2651</v>
      </c>
      <c r="D983" s="617" t="s">
        <v>49</v>
      </c>
      <c r="E983" s="617" t="s">
        <v>4854</v>
      </c>
      <c r="F983" s="617" t="s">
        <v>24</v>
      </c>
      <c r="G983" s="624"/>
      <c r="O983" s="616"/>
      <c r="P983" s="616"/>
      <c r="Q983" s="616"/>
      <c r="AA983" s="624"/>
      <c r="AB983" s="663">
        <v>39049003600</v>
      </c>
      <c r="AC983" s="663" t="s">
        <v>5915</v>
      </c>
      <c r="AD983" s="663" t="s">
        <v>4948</v>
      </c>
      <c r="AE983" s="663" t="s">
        <v>4939</v>
      </c>
      <c r="AF983" s="663" t="s">
        <v>4962</v>
      </c>
    </row>
    <row r="984" spans="1:32" s="608" customFormat="1" x14ac:dyDescent="0.25">
      <c r="A984" s="624"/>
      <c r="B984" s="617">
        <v>39049001302</v>
      </c>
      <c r="C984" s="617" t="s">
        <v>2652</v>
      </c>
      <c r="D984" s="617" t="s">
        <v>49</v>
      </c>
      <c r="E984" s="617" t="s">
        <v>4854</v>
      </c>
      <c r="F984" s="617" t="s">
        <v>24</v>
      </c>
      <c r="G984" s="624"/>
      <c r="O984" s="616"/>
      <c r="P984" s="616"/>
      <c r="Q984" s="616"/>
      <c r="AA984" s="624"/>
      <c r="AB984" s="663">
        <v>39049003700</v>
      </c>
      <c r="AC984" s="663" t="s">
        <v>5916</v>
      </c>
      <c r="AD984" s="663" t="s">
        <v>4941</v>
      </c>
      <c r="AE984" s="663" t="s">
        <v>4939</v>
      </c>
      <c r="AF984" s="663" t="s">
        <v>4962</v>
      </c>
    </row>
    <row r="985" spans="1:32" s="608" customFormat="1" x14ac:dyDescent="0.25">
      <c r="A985" s="624"/>
      <c r="B985" s="617">
        <v>39049001400</v>
      </c>
      <c r="C985" s="617" t="s">
        <v>2653</v>
      </c>
      <c r="D985" s="617" t="s">
        <v>49</v>
      </c>
      <c r="E985" s="617" t="s">
        <v>4854</v>
      </c>
      <c r="F985" s="617" t="s">
        <v>24</v>
      </c>
      <c r="G985" s="624"/>
      <c r="O985" s="616"/>
      <c r="P985" s="616"/>
      <c r="Q985" s="616"/>
      <c r="AA985" s="624"/>
      <c r="AB985" s="663">
        <v>39049003800</v>
      </c>
      <c r="AC985" s="663" t="s">
        <v>5917</v>
      </c>
      <c r="AD985" s="663" t="s">
        <v>4941</v>
      </c>
      <c r="AE985" s="663" t="s">
        <v>4942</v>
      </c>
      <c r="AF985" s="663" t="s">
        <v>4962</v>
      </c>
    </row>
    <row r="986" spans="1:32" s="608" customFormat="1" x14ac:dyDescent="0.25">
      <c r="A986" s="624"/>
      <c r="B986" s="617">
        <v>39049001500</v>
      </c>
      <c r="C986" s="617" t="s">
        <v>2654</v>
      </c>
      <c r="D986" s="617" t="s">
        <v>49</v>
      </c>
      <c r="E986" s="617" t="s">
        <v>4854</v>
      </c>
      <c r="F986" s="617" t="s">
        <v>24</v>
      </c>
      <c r="G986" s="624"/>
      <c r="O986" s="616"/>
      <c r="P986" s="616"/>
      <c r="Q986" s="616"/>
      <c r="AA986" s="624"/>
      <c r="AB986" s="663">
        <v>39049004000</v>
      </c>
      <c r="AC986" s="663" t="s">
        <v>5918</v>
      </c>
      <c r="AD986" s="663" t="s">
        <v>4938</v>
      </c>
      <c r="AE986" s="663" t="s">
        <v>4939</v>
      </c>
      <c r="AF986" s="663" t="s">
        <v>4962</v>
      </c>
    </row>
    <row r="987" spans="1:32" s="608" customFormat="1" x14ac:dyDescent="0.25">
      <c r="A987" s="624"/>
      <c r="B987" s="617">
        <v>39049001600</v>
      </c>
      <c r="C987" s="617" t="s">
        <v>2655</v>
      </c>
      <c r="D987" s="617" t="s">
        <v>49</v>
      </c>
      <c r="E987" s="617" t="s">
        <v>4854</v>
      </c>
      <c r="F987" s="617" t="s">
        <v>24</v>
      </c>
      <c r="G987" s="624"/>
      <c r="O987" s="616"/>
      <c r="P987" s="616"/>
      <c r="Q987" s="616"/>
      <c r="AA987" s="624"/>
      <c r="AB987" s="663">
        <v>39049004200</v>
      </c>
      <c r="AC987" s="663" t="s">
        <v>5919</v>
      </c>
      <c r="AD987" s="663" t="s">
        <v>4927</v>
      </c>
      <c r="AE987" s="663" t="s">
        <v>5332</v>
      </c>
      <c r="AF987" s="663" t="s">
        <v>4962</v>
      </c>
    </row>
    <row r="988" spans="1:32" s="608" customFormat="1" x14ac:dyDescent="0.25">
      <c r="A988" s="624"/>
      <c r="B988" s="617">
        <v>39049001700</v>
      </c>
      <c r="C988" s="617" t="s">
        <v>2656</v>
      </c>
      <c r="D988" s="617" t="s">
        <v>49</v>
      </c>
      <c r="E988" s="617" t="s">
        <v>4854</v>
      </c>
      <c r="F988" s="617" t="s">
        <v>24</v>
      </c>
      <c r="G988" s="624"/>
      <c r="O988" s="616"/>
      <c r="P988" s="616"/>
      <c r="Q988" s="616"/>
      <c r="AA988" s="624"/>
      <c r="AB988" s="663">
        <v>39049004300</v>
      </c>
      <c r="AC988" s="663" t="s">
        <v>5920</v>
      </c>
      <c r="AD988" s="663" t="s">
        <v>4941</v>
      </c>
      <c r="AE988" s="663" t="s">
        <v>4939</v>
      </c>
      <c r="AF988" s="663" t="s">
        <v>4946</v>
      </c>
    </row>
    <row r="989" spans="1:32" s="608" customFormat="1" x14ac:dyDescent="0.25">
      <c r="A989" s="624"/>
      <c r="B989" s="617">
        <v>39049001810</v>
      </c>
      <c r="C989" s="617" t="s">
        <v>2657</v>
      </c>
      <c r="D989" s="617" t="s">
        <v>49</v>
      </c>
      <c r="E989" s="617" t="s">
        <v>4854</v>
      </c>
      <c r="F989" s="617" t="s">
        <v>24</v>
      </c>
      <c r="G989" s="624"/>
      <c r="O989" s="616"/>
      <c r="P989" s="616"/>
      <c r="Q989" s="616"/>
      <c r="AA989" s="624"/>
      <c r="AB989" s="663">
        <v>39049004500</v>
      </c>
      <c r="AC989" s="663" t="s">
        <v>5921</v>
      </c>
      <c r="AD989" s="663" t="s">
        <v>4950</v>
      </c>
      <c r="AE989" s="663" t="s">
        <v>4934</v>
      </c>
      <c r="AF989" s="663" t="s">
        <v>4962</v>
      </c>
    </row>
    <row r="990" spans="1:32" s="608" customFormat="1" x14ac:dyDescent="0.25">
      <c r="A990" s="624"/>
      <c r="B990" s="617">
        <v>39049001820</v>
      </c>
      <c r="C990" s="617" t="s">
        <v>2658</v>
      </c>
      <c r="D990" s="617" t="s">
        <v>49</v>
      </c>
      <c r="E990" s="617" t="s">
        <v>4854</v>
      </c>
      <c r="F990" s="617" t="s">
        <v>26</v>
      </c>
      <c r="G990" s="624"/>
      <c r="O990" s="616"/>
      <c r="P990" s="616"/>
      <c r="Q990" s="616"/>
      <c r="AA990" s="624"/>
      <c r="AB990" s="663">
        <v>39049004610</v>
      </c>
      <c r="AC990" s="663" t="s">
        <v>5922</v>
      </c>
      <c r="AD990" s="663" t="s">
        <v>4938</v>
      </c>
      <c r="AE990" s="663" t="s">
        <v>4931</v>
      </c>
      <c r="AF990" s="663" t="s">
        <v>4962</v>
      </c>
    </row>
    <row r="991" spans="1:32" s="608" customFormat="1" x14ac:dyDescent="0.25">
      <c r="A991" s="624"/>
      <c r="B991" s="617">
        <v>39049001901</v>
      </c>
      <c r="C991" s="617" t="s">
        <v>2659</v>
      </c>
      <c r="D991" s="617" t="s">
        <v>49</v>
      </c>
      <c r="E991" s="617" t="s">
        <v>4854</v>
      </c>
      <c r="F991" s="617" t="s">
        <v>26</v>
      </c>
      <c r="G991" s="624"/>
      <c r="O991" s="616"/>
      <c r="P991" s="616"/>
      <c r="Q991" s="616"/>
      <c r="AA991" s="624"/>
      <c r="AB991" s="663">
        <v>39049004620</v>
      </c>
      <c r="AC991" s="663" t="s">
        <v>5923</v>
      </c>
      <c r="AD991" s="663" t="s">
        <v>4927</v>
      </c>
      <c r="AE991" s="663" t="s">
        <v>4934</v>
      </c>
      <c r="AF991" s="663" t="s">
        <v>4962</v>
      </c>
    </row>
    <row r="992" spans="1:32" s="608" customFormat="1" x14ac:dyDescent="0.25">
      <c r="A992" s="624"/>
      <c r="B992" s="617">
        <v>39049001902</v>
      </c>
      <c r="C992" s="617" t="s">
        <v>2660</v>
      </c>
      <c r="D992" s="617" t="s">
        <v>49</v>
      </c>
      <c r="E992" s="617" t="s">
        <v>4854</v>
      </c>
      <c r="F992" s="617" t="s">
        <v>26</v>
      </c>
      <c r="G992" s="624"/>
      <c r="O992" s="616"/>
      <c r="P992" s="616"/>
      <c r="Q992" s="616"/>
      <c r="AA992" s="624"/>
      <c r="AB992" s="663">
        <v>39049004700</v>
      </c>
      <c r="AC992" s="663" t="s">
        <v>5924</v>
      </c>
      <c r="AD992" s="663" t="s">
        <v>4950</v>
      </c>
      <c r="AE992" s="663" t="s">
        <v>4931</v>
      </c>
      <c r="AF992" s="663" t="s">
        <v>4962</v>
      </c>
    </row>
    <row r="993" spans="1:32" s="608" customFormat="1" x14ac:dyDescent="0.25">
      <c r="A993" s="624"/>
      <c r="B993" s="617">
        <v>39049002000</v>
      </c>
      <c r="C993" s="617" t="s">
        <v>2661</v>
      </c>
      <c r="D993" s="617" t="s">
        <v>49</v>
      </c>
      <c r="E993" s="617" t="s">
        <v>4854</v>
      </c>
      <c r="F993" s="617" t="s">
        <v>26</v>
      </c>
      <c r="G993" s="624"/>
      <c r="O993" s="616"/>
      <c r="P993" s="616"/>
      <c r="Q993" s="616"/>
      <c r="AA993" s="624"/>
      <c r="AB993" s="663">
        <v>39049004810</v>
      </c>
      <c r="AC993" s="663" t="s">
        <v>5925</v>
      </c>
      <c r="AD993" s="663" t="s">
        <v>4941</v>
      </c>
      <c r="AE993" s="663" t="s">
        <v>4931</v>
      </c>
      <c r="AF993" s="663" t="s">
        <v>4962</v>
      </c>
    </row>
    <row r="994" spans="1:32" s="608" customFormat="1" x14ac:dyDescent="0.25">
      <c r="A994" s="624"/>
      <c r="B994" s="617">
        <v>39049002100</v>
      </c>
      <c r="C994" s="617" t="s">
        <v>2662</v>
      </c>
      <c r="D994" s="617" t="s">
        <v>49</v>
      </c>
      <c r="E994" s="617" t="s">
        <v>4854</v>
      </c>
      <c r="F994" s="617" t="s">
        <v>26</v>
      </c>
      <c r="G994" s="624"/>
      <c r="O994" s="616"/>
      <c r="P994" s="616"/>
      <c r="Q994" s="616"/>
      <c r="AA994" s="624"/>
      <c r="AB994" s="663">
        <v>39049004820</v>
      </c>
      <c r="AC994" s="663" t="s">
        <v>5926</v>
      </c>
      <c r="AD994" s="663" t="s">
        <v>4948</v>
      </c>
      <c r="AE994" s="663" t="s">
        <v>4931</v>
      </c>
      <c r="AF994" s="663" t="s">
        <v>4962</v>
      </c>
    </row>
    <row r="995" spans="1:32" s="608" customFormat="1" x14ac:dyDescent="0.25">
      <c r="A995" s="624"/>
      <c r="B995" s="617">
        <v>39049002200</v>
      </c>
      <c r="C995" s="617" t="s">
        <v>2663</v>
      </c>
      <c r="D995" s="617" t="s">
        <v>49</v>
      </c>
      <c r="E995" s="617" t="s">
        <v>4854</v>
      </c>
      <c r="F995" s="617" t="s">
        <v>26</v>
      </c>
      <c r="G995" s="624"/>
      <c r="O995" s="616"/>
      <c r="P995" s="616"/>
      <c r="Q995" s="616"/>
      <c r="AA995" s="624"/>
      <c r="AB995" s="663">
        <v>39049004900</v>
      </c>
      <c r="AC995" s="663" t="s">
        <v>5927</v>
      </c>
      <c r="AD995" s="663" t="s">
        <v>4948</v>
      </c>
      <c r="AE995" s="663" t="s">
        <v>4942</v>
      </c>
      <c r="AF995" s="663" t="s">
        <v>4962</v>
      </c>
    </row>
    <row r="996" spans="1:32" s="608" customFormat="1" x14ac:dyDescent="0.25">
      <c r="A996" s="624"/>
      <c r="B996" s="617">
        <v>39049002300</v>
      </c>
      <c r="C996" s="617" t="s">
        <v>2664</v>
      </c>
      <c r="D996" s="617" t="s">
        <v>49</v>
      </c>
      <c r="E996" s="617" t="s">
        <v>4854</v>
      </c>
      <c r="F996" s="617" t="s">
        <v>24</v>
      </c>
      <c r="G996" s="624"/>
      <c r="O996" s="616"/>
      <c r="P996" s="616"/>
      <c r="Q996" s="616"/>
      <c r="AA996" s="624"/>
      <c r="AB996" s="663">
        <v>39049005000</v>
      </c>
      <c r="AC996" s="663" t="s">
        <v>5928</v>
      </c>
      <c r="AD996" s="663" t="s">
        <v>4950</v>
      </c>
      <c r="AE996" s="663" t="s">
        <v>4939</v>
      </c>
      <c r="AF996" s="663" t="s">
        <v>4962</v>
      </c>
    </row>
    <row r="997" spans="1:32" s="608" customFormat="1" x14ac:dyDescent="0.25">
      <c r="A997" s="624"/>
      <c r="B997" s="617">
        <v>39049002510</v>
      </c>
      <c r="C997" s="617" t="s">
        <v>2665</v>
      </c>
      <c r="D997" s="617" t="s">
        <v>49</v>
      </c>
      <c r="E997" s="617" t="s">
        <v>4854</v>
      </c>
      <c r="F997" s="617" t="s">
        <v>24</v>
      </c>
      <c r="G997" s="624"/>
      <c r="O997" s="616"/>
      <c r="P997" s="616"/>
      <c r="Q997" s="616"/>
      <c r="AA997" s="624"/>
      <c r="AB997" s="663">
        <v>39049005100</v>
      </c>
      <c r="AC997" s="663" t="s">
        <v>5929</v>
      </c>
      <c r="AD997" s="663" t="s">
        <v>4927</v>
      </c>
      <c r="AE997" s="663" t="s">
        <v>4928</v>
      </c>
      <c r="AF997" s="663" t="s">
        <v>4946</v>
      </c>
    </row>
    <row r="998" spans="1:32" s="608" customFormat="1" x14ac:dyDescent="0.25">
      <c r="A998" s="624"/>
      <c r="B998" s="617">
        <v>39049002520</v>
      </c>
      <c r="C998" s="617" t="s">
        <v>2666</v>
      </c>
      <c r="D998" s="617" t="s">
        <v>49</v>
      </c>
      <c r="E998" s="617" t="s">
        <v>4854</v>
      </c>
      <c r="F998" s="617" t="s">
        <v>24</v>
      </c>
      <c r="G998" s="624"/>
      <c r="O998" s="616"/>
      <c r="P998" s="616"/>
      <c r="Q998" s="616"/>
      <c r="AA998" s="624"/>
      <c r="AB998" s="663">
        <v>39049005200</v>
      </c>
      <c r="AC998" s="663" t="s">
        <v>5930</v>
      </c>
      <c r="AD998" s="663" t="s">
        <v>4938</v>
      </c>
      <c r="AE998" s="663" t="s">
        <v>4939</v>
      </c>
      <c r="AF998" s="663" t="s">
        <v>4962</v>
      </c>
    </row>
    <row r="999" spans="1:32" s="608" customFormat="1" x14ac:dyDescent="0.25">
      <c r="A999" s="624"/>
      <c r="B999" s="617">
        <v>39049002600</v>
      </c>
      <c r="C999" s="617" t="s">
        <v>2667</v>
      </c>
      <c r="D999" s="617" t="s">
        <v>49</v>
      </c>
      <c r="E999" s="617" t="s">
        <v>4854</v>
      </c>
      <c r="F999" s="617" t="s">
        <v>24</v>
      </c>
      <c r="G999" s="624"/>
      <c r="O999" s="616"/>
      <c r="P999" s="616"/>
      <c r="Q999" s="616"/>
      <c r="AA999" s="624"/>
      <c r="AB999" s="663">
        <v>39049005300</v>
      </c>
      <c r="AC999" s="663" t="s">
        <v>5931</v>
      </c>
      <c r="AD999" s="663" t="s">
        <v>4941</v>
      </c>
      <c r="AE999" s="663" t="s">
        <v>4939</v>
      </c>
      <c r="AF999" s="663" t="s">
        <v>4962</v>
      </c>
    </row>
    <row r="1000" spans="1:32" s="608" customFormat="1" x14ac:dyDescent="0.25">
      <c r="A1000" s="624"/>
      <c r="B1000" s="617">
        <v>39049002710</v>
      </c>
      <c r="C1000" s="617" t="s">
        <v>2668</v>
      </c>
      <c r="D1000" s="617" t="s">
        <v>49</v>
      </c>
      <c r="E1000" s="617" t="s">
        <v>4854</v>
      </c>
      <c r="F1000" s="617" t="s">
        <v>24</v>
      </c>
      <c r="G1000" s="624"/>
      <c r="O1000" s="616"/>
      <c r="P1000" s="616"/>
      <c r="Q1000" s="616"/>
      <c r="AA1000" s="624"/>
      <c r="AB1000" s="663">
        <v>39049005410</v>
      </c>
      <c r="AC1000" s="663" t="s">
        <v>5932</v>
      </c>
      <c r="AD1000" s="663" t="s">
        <v>4927</v>
      </c>
      <c r="AE1000" s="663" t="s">
        <v>4928</v>
      </c>
      <c r="AF1000" s="663" t="s">
        <v>4962</v>
      </c>
    </row>
    <row r="1001" spans="1:32" s="608" customFormat="1" x14ac:dyDescent="0.25">
      <c r="A1001" s="624"/>
      <c r="B1001" s="617">
        <v>39049002730</v>
      </c>
      <c r="C1001" s="617" t="s">
        <v>2669</v>
      </c>
      <c r="D1001" s="617" t="s">
        <v>49</v>
      </c>
      <c r="E1001" s="617" t="s">
        <v>4854</v>
      </c>
      <c r="F1001" s="617" t="s">
        <v>24</v>
      </c>
      <c r="G1001" s="624"/>
      <c r="O1001" s="616"/>
      <c r="P1001" s="616"/>
      <c r="Q1001" s="616"/>
      <c r="AA1001" s="624"/>
      <c r="AB1001" s="663">
        <v>39049005420</v>
      </c>
      <c r="AC1001" s="663" t="s">
        <v>5933</v>
      </c>
      <c r="AD1001" s="663" t="s">
        <v>4948</v>
      </c>
      <c r="AE1001" s="663" t="s">
        <v>4931</v>
      </c>
      <c r="AF1001" s="663" t="s">
        <v>4962</v>
      </c>
    </row>
    <row r="1002" spans="1:32" s="608" customFormat="1" x14ac:dyDescent="0.25">
      <c r="A1002" s="624"/>
      <c r="B1002" s="617">
        <v>39049002740</v>
      </c>
      <c r="C1002" s="617" t="s">
        <v>2670</v>
      </c>
      <c r="D1002" s="617" t="s">
        <v>49</v>
      </c>
      <c r="E1002" s="617" t="s">
        <v>4854</v>
      </c>
      <c r="F1002" s="617" t="s">
        <v>26</v>
      </c>
      <c r="G1002" s="624"/>
      <c r="O1002" s="616"/>
      <c r="P1002" s="616"/>
      <c r="Q1002" s="616"/>
      <c r="AA1002" s="624"/>
      <c r="AB1002" s="663">
        <v>39049005500</v>
      </c>
      <c r="AC1002" s="663" t="s">
        <v>5934</v>
      </c>
      <c r="AD1002" s="663" t="s">
        <v>4948</v>
      </c>
      <c r="AE1002" s="663" t="s">
        <v>4928</v>
      </c>
      <c r="AF1002" s="663" t="s">
        <v>4962</v>
      </c>
    </row>
    <row r="1003" spans="1:32" s="608" customFormat="1" x14ac:dyDescent="0.25">
      <c r="A1003" s="624"/>
      <c r="B1003" s="617">
        <v>39049002750</v>
      </c>
      <c r="C1003" s="617" t="s">
        <v>2671</v>
      </c>
      <c r="D1003" s="617" t="s">
        <v>49</v>
      </c>
      <c r="E1003" s="617" t="s">
        <v>4854</v>
      </c>
      <c r="F1003" s="617" t="s">
        <v>24</v>
      </c>
      <c r="G1003" s="624"/>
      <c r="O1003" s="616"/>
      <c r="P1003" s="616"/>
      <c r="Q1003" s="616"/>
      <c r="AA1003" s="624"/>
      <c r="AB1003" s="663">
        <v>39049005610</v>
      </c>
      <c r="AC1003" s="663" t="s">
        <v>5935</v>
      </c>
      <c r="AD1003" s="663" t="s">
        <v>4948</v>
      </c>
      <c r="AE1003" s="663" t="s">
        <v>4939</v>
      </c>
      <c r="AF1003" s="663" t="s">
        <v>4962</v>
      </c>
    </row>
    <row r="1004" spans="1:32" s="608" customFormat="1" x14ac:dyDescent="0.25">
      <c r="A1004" s="624"/>
      <c r="B1004" s="617">
        <v>39049002760</v>
      </c>
      <c r="C1004" s="617" t="s">
        <v>2672</v>
      </c>
      <c r="D1004" s="617" t="s">
        <v>49</v>
      </c>
      <c r="E1004" s="617" t="s">
        <v>4854</v>
      </c>
      <c r="F1004" s="617" t="s">
        <v>26</v>
      </c>
      <c r="G1004" s="624"/>
      <c r="O1004" s="616"/>
      <c r="P1004" s="616"/>
      <c r="Q1004" s="616"/>
      <c r="AA1004" s="624"/>
      <c r="AB1004" s="663">
        <v>39049005620</v>
      </c>
      <c r="AC1004" s="663" t="s">
        <v>5936</v>
      </c>
      <c r="AD1004" s="663" t="s">
        <v>4941</v>
      </c>
      <c r="AE1004" s="663" t="s">
        <v>4939</v>
      </c>
      <c r="AF1004" s="663" t="s">
        <v>4962</v>
      </c>
    </row>
    <row r="1005" spans="1:32" s="608" customFormat="1" x14ac:dyDescent="0.25">
      <c r="A1005" s="624"/>
      <c r="B1005" s="617">
        <v>39049002770</v>
      </c>
      <c r="C1005" s="617" t="s">
        <v>2673</v>
      </c>
      <c r="D1005" s="617" t="s">
        <v>49</v>
      </c>
      <c r="E1005" s="617" t="s">
        <v>4854</v>
      </c>
      <c r="F1005" s="617" t="s">
        <v>24</v>
      </c>
      <c r="G1005" s="624"/>
      <c r="O1005" s="616"/>
      <c r="P1005" s="616"/>
      <c r="Q1005" s="616"/>
      <c r="AA1005" s="624"/>
      <c r="AB1005" s="663">
        <v>39049005700</v>
      </c>
      <c r="AC1005" s="663" t="s">
        <v>5937</v>
      </c>
      <c r="AD1005" s="663" t="s">
        <v>4938</v>
      </c>
      <c r="AE1005" s="663" t="s">
        <v>4939</v>
      </c>
      <c r="AF1005" s="663" t="s">
        <v>4962</v>
      </c>
    </row>
    <row r="1006" spans="1:32" s="608" customFormat="1" x14ac:dyDescent="0.25">
      <c r="A1006" s="624"/>
      <c r="B1006" s="617">
        <v>39049002780</v>
      </c>
      <c r="C1006" s="617" t="s">
        <v>2674</v>
      </c>
      <c r="D1006" s="617" t="s">
        <v>49</v>
      </c>
      <c r="E1006" s="617" t="s">
        <v>4854</v>
      </c>
      <c r="F1006" s="617" t="s">
        <v>26</v>
      </c>
      <c r="G1006" s="624"/>
      <c r="O1006" s="616"/>
      <c r="P1006" s="616"/>
      <c r="Q1006" s="616"/>
      <c r="AA1006" s="624"/>
      <c r="AB1006" s="663">
        <v>39049005810</v>
      </c>
      <c r="AC1006" s="663" t="s">
        <v>5938</v>
      </c>
      <c r="AD1006" s="663" t="s">
        <v>4938</v>
      </c>
      <c r="AE1006" s="663" t="s">
        <v>4939</v>
      </c>
      <c r="AF1006" s="663" t="s">
        <v>4962</v>
      </c>
    </row>
    <row r="1007" spans="1:32" s="608" customFormat="1" x14ac:dyDescent="0.25">
      <c r="A1007" s="624"/>
      <c r="B1007" s="617">
        <v>39049002800</v>
      </c>
      <c r="C1007" s="617" t="s">
        <v>2675</v>
      </c>
      <c r="D1007" s="617" t="s">
        <v>49</v>
      </c>
      <c r="E1007" s="617" t="s">
        <v>4854</v>
      </c>
      <c r="F1007" s="617" t="s">
        <v>24</v>
      </c>
      <c r="G1007" s="624"/>
      <c r="O1007" s="616"/>
      <c r="P1007" s="616"/>
      <c r="Q1007" s="616"/>
      <c r="AA1007" s="624"/>
      <c r="AB1007" s="663">
        <v>39049005820</v>
      </c>
      <c r="AC1007" s="663" t="s">
        <v>5939</v>
      </c>
      <c r="AD1007" s="663" t="s">
        <v>4938</v>
      </c>
      <c r="AE1007" s="663" t="s">
        <v>4939</v>
      </c>
      <c r="AF1007" s="663" t="s">
        <v>4962</v>
      </c>
    </row>
    <row r="1008" spans="1:32" s="608" customFormat="1" x14ac:dyDescent="0.25">
      <c r="A1008" s="624"/>
      <c r="B1008" s="617">
        <v>39049002900</v>
      </c>
      <c r="C1008" s="617" t="s">
        <v>2676</v>
      </c>
      <c r="D1008" s="617" t="s">
        <v>49</v>
      </c>
      <c r="E1008" s="617" t="s">
        <v>4854</v>
      </c>
      <c r="F1008" s="617" t="s">
        <v>24</v>
      </c>
      <c r="G1008" s="624"/>
      <c r="O1008" s="616"/>
      <c r="P1008" s="616"/>
      <c r="Q1008" s="616"/>
      <c r="AA1008" s="624"/>
      <c r="AB1008" s="663">
        <v>39049005900</v>
      </c>
      <c r="AC1008" s="663" t="s">
        <v>5940</v>
      </c>
      <c r="AD1008" s="663" t="s">
        <v>4950</v>
      </c>
      <c r="AE1008" s="663" t="s">
        <v>4928</v>
      </c>
      <c r="AF1008" s="663" t="s">
        <v>4962</v>
      </c>
    </row>
    <row r="1009" spans="1:32" s="608" customFormat="1" x14ac:dyDescent="0.25">
      <c r="A1009" s="624"/>
      <c r="B1009" s="617">
        <v>39049003000</v>
      </c>
      <c r="C1009" s="617" t="s">
        <v>2677</v>
      </c>
      <c r="D1009" s="617" t="s">
        <v>49</v>
      </c>
      <c r="E1009" s="617" t="s">
        <v>4854</v>
      </c>
      <c r="F1009" s="617" t="s">
        <v>26</v>
      </c>
      <c r="G1009" s="624"/>
      <c r="O1009" s="616"/>
      <c r="P1009" s="616"/>
      <c r="Q1009" s="616"/>
      <c r="AA1009" s="624"/>
      <c r="AB1009" s="663">
        <v>39049006000</v>
      </c>
      <c r="AC1009" s="663" t="s">
        <v>5941</v>
      </c>
      <c r="AD1009" s="663" t="s">
        <v>4950</v>
      </c>
      <c r="AE1009" s="663" t="s">
        <v>4942</v>
      </c>
      <c r="AF1009" s="663" t="s">
        <v>4962</v>
      </c>
    </row>
    <row r="1010" spans="1:32" s="608" customFormat="1" x14ac:dyDescent="0.25">
      <c r="A1010" s="624"/>
      <c r="B1010" s="617">
        <v>39049003200</v>
      </c>
      <c r="C1010" s="617" t="s">
        <v>2678</v>
      </c>
      <c r="D1010" s="617" t="s">
        <v>49</v>
      </c>
      <c r="E1010" s="617" t="s">
        <v>4854</v>
      </c>
      <c r="F1010" s="617" t="s">
        <v>26</v>
      </c>
      <c r="G1010" s="624"/>
      <c r="O1010" s="616"/>
      <c r="P1010" s="616"/>
      <c r="Q1010" s="616"/>
      <c r="AA1010" s="624"/>
      <c r="AB1010" s="663">
        <v>39049006100</v>
      </c>
      <c r="AC1010" s="663" t="s">
        <v>5942</v>
      </c>
      <c r="AD1010" s="663" t="s">
        <v>4950</v>
      </c>
      <c r="AE1010" s="663" t="s">
        <v>4934</v>
      </c>
      <c r="AF1010" s="663" t="s">
        <v>4962</v>
      </c>
    </row>
    <row r="1011" spans="1:32" s="608" customFormat="1" x14ac:dyDescent="0.25">
      <c r="A1011" s="624"/>
      <c r="B1011" s="617">
        <v>39049003600</v>
      </c>
      <c r="C1011" s="617" t="s">
        <v>2679</v>
      </c>
      <c r="D1011" s="617" t="s">
        <v>49</v>
      </c>
      <c r="E1011" s="617" t="s">
        <v>4854</v>
      </c>
      <c r="F1011" s="617" t="s">
        <v>26</v>
      </c>
      <c r="G1011" s="624"/>
      <c r="O1011" s="616"/>
      <c r="P1011" s="616"/>
      <c r="Q1011" s="616"/>
      <c r="AA1011" s="624"/>
      <c r="AB1011" s="663">
        <v>39049006220</v>
      </c>
      <c r="AC1011" s="663" t="s">
        <v>5943</v>
      </c>
      <c r="AD1011" s="663" t="s">
        <v>4938</v>
      </c>
      <c r="AE1011" s="663" t="s">
        <v>4931</v>
      </c>
      <c r="AF1011" s="663" t="s">
        <v>4946</v>
      </c>
    </row>
    <row r="1012" spans="1:32" s="608" customFormat="1" x14ac:dyDescent="0.25">
      <c r="A1012" s="624"/>
      <c r="B1012" s="617">
        <v>39049003700</v>
      </c>
      <c r="C1012" s="617" t="s">
        <v>2680</v>
      </c>
      <c r="D1012" s="617" t="s">
        <v>49</v>
      </c>
      <c r="E1012" s="617" t="s">
        <v>4854</v>
      </c>
      <c r="F1012" s="617" t="s">
        <v>24</v>
      </c>
      <c r="G1012" s="624"/>
      <c r="O1012" s="616"/>
      <c r="P1012" s="616"/>
      <c r="Q1012" s="616"/>
      <c r="AA1012" s="624"/>
      <c r="AB1012" s="663">
        <v>39049006230</v>
      </c>
      <c r="AC1012" s="663" t="s">
        <v>5944</v>
      </c>
      <c r="AD1012" s="663" t="s">
        <v>4938</v>
      </c>
      <c r="AE1012" s="663" t="s">
        <v>4928</v>
      </c>
      <c r="AF1012" s="663" t="s">
        <v>4946</v>
      </c>
    </row>
    <row r="1013" spans="1:32" s="608" customFormat="1" x14ac:dyDescent="0.25">
      <c r="A1013" s="624"/>
      <c r="B1013" s="617">
        <v>39049003800</v>
      </c>
      <c r="C1013" s="617" t="s">
        <v>2681</v>
      </c>
      <c r="D1013" s="617" t="s">
        <v>49</v>
      </c>
      <c r="E1013" s="617" t="s">
        <v>4854</v>
      </c>
      <c r="F1013" s="617" t="s">
        <v>24</v>
      </c>
      <c r="G1013" s="624"/>
      <c r="O1013" s="616"/>
      <c r="P1013" s="616"/>
      <c r="Q1013" s="616"/>
      <c r="AA1013" s="624"/>
      <c r="AB1013" s="663">
        <v>39049006236</v>
      </c>
      <c r="AC1013" s="663" t="s">
        <v>5945</v>
      </c>
      <c r="AD1013" s="663" t="s">
        <v>4938</v>
      </c>
      <c r="AE1013" s="663" t="s">
        <v>4939</v>
      </c>
      <c r="AF1013" s="663" t="s">
        <v>4946</v>
      </c>
    </row>
    <row r="1014" spans="1:32" s="608" customFormat="1" x14ac:dyDescent="0.25">
      <c r="A1014" s="624"/>
      <c r="B1014" s="617">
        <v>39049004001</v>
      </c>
      <c r="C1014" s="617" t="s">
        <v>2682</v>
      </c>
      <c r="D1014" s="617" t="s">
        <v>49</v>
      </c>
      <c r="E1014" s="617" t="s">
        <v>4854</v>
      </c>
      <c r="F1014" s="617" t="s">
        <v>24</v>
      </c>
      <c r="G1014" s="624"/>
      <c r="O1014" s="616"/>
      <c r="P1014" s="616"/>
      <c r="Q1014" s="616"/>
      <c r="AA1014" s="624"/>
      <c r="AB1014" s="663">
        <v>39049006310</v>
      </c>
      <c r="AC1014" s="663" t="s">
        <v>5946</v>
      </c>
      <c r="AD1014" s="663" t="s">
        <v>4938</v>
      </c>
      <c r="AE1014" s="663" t="s">
        <v>4942</v>
      </c>
      <c r="AF1014" s="663" t="s">
        <v>4946</v>
      </c>
    </row>
    <row r="1015" spans="1:32" s="608" customFormat="1" x14ac:dyDescent="0.25">
      <c r="A1015" s="624"/>
      <c r="B1015" s="617">
        <v>39049004002</v>
      </c>
      <c r="C1015" s="617" t="s">
        <v>2683</v>
      </c>
      <c r="D1015" s="617" t="s">
        <v>49</v>
      </c>
      <c r="E1015" s="617" t="s">
        <v>4854</v>
      </c>
      <c r="F1015" s="617" t="s">
        <v>24</v>
      </c>
      <c r="G1015" s="624"/>
      <c r="O1015" s="616"/>
      <c r="P1015" s="616"/>
      <c r="Q1015" s="616"/>
      <c r="AA1015" s="624"/>
      <c r="AB1015" s="663">
        <v>39049006321</v>
      </c>
      <c r="AC1015" s="663" t="s">
        <v>5947</v>
      </c>
      <c r="AD1015" s="663" t="s">
        <v>4938</v>
      </c>
      <c r="AE1015" s="663" t="s">
        <v>4942</v>
      </c>
      <c r="AF1015" s="663" t="s">
        <v>4946</v>
      </c>
    </row>
    <row r="1016" spans="1:32" s="608" customFormat="1" x14ac:dyDescent="0.25">
      <c r="A1016" s="624"/>
      <c r="B1016" s="617">
        <v>39049004200</v>
      </c>
      <c r="C1016" s="617" t="s">
        <v>2684</v>
      </c>
      <c r="D1016" s="617" t="s">
        <v>49</v>
      </c>
      <c r="E1016" s="617" t="s">
        <v>4854</v>
      </c>
      <c r="F1016" s="617" t="s">
        <v>24</v>
      </c>
      <c r="G1016" s="624"/>
      <c r="O1016" s="616"/>
      <c r="P1016" s="616"/>
      <c r="Q1016" s="616"/>
      <c r="AA1016" s="624"/>
      <c r="AB1016" s="663">
        <v>39049006323</v>
      </c>
      <c r="AC1016" s="663" t="s">
        <v>5948</v>
      </c>
      <c r="AD1016" s="663" t="s">
        <v>4938</v>
      </c>
      <c r="AE1016" s="663" t="s">
        <v>4939</v>
      </c>
      <c r="AF1016" s="663" t="s">
        <v>4946</v>
      </c>
    </row>
    <row r="1017" spans="1:32" s="608" customFormat="1" x14ac:dyDescent="0.25">
      <c r="A1017" s="624"/>
      <c r="B1017" s="617">
        <v>39049004301</v>
      </c>
      <c r="C1017" s="617" t="s">
        <v>2685</v>
      </c>
      <c r="D1017" s="617" t="s">
        <v>49</v>
      </c>
      <c r="E1017" s="617" t="s">
        <v>4854</v>
      </c>
      <c r="F1017" s="617" t="s">
        <v>26</v>
      </c>
      <c r="G1017" s="624"/>
      <c r="O1017" s="616"/>
      <c r="P1017" s="616"/>
      <c r="Q1017" s="616"/>
      <c r="AA1017" s="624"/>
      <c r="AB1017" s="663">
        <v>39049006330</v>
      </c>
      <c r="AC1017" s="663" t="s">
        <v>5949</v>
      </c>
      <c r="AD1017" s="663" t="s">
        <v>4938</v>
      </c>
      <c r="AE1017" s="663" t="s">
        <v>4939</v>
      </c>
      <c r="AF1017" s="663" t="s">
        <v>4946</v>
      </c>
    </row>
    <row r="1018" spans="1:32" s="608" customFormat="1" x14ac:dyDescent="0.25">
      <c r="A1018" s="624"/>
      <c r="B1018" s="617">
        <v>39049004302</v>
      </c>
      <c r="C1018" s="617" t="s">
        <v>2686</v>
      </c>
      <c r="D1018" s="617" t="s">
        <v>49</v>
      </c>
      <c r="E1018" s="617" t="s">
        <v>4854</v>
      </c>
      <c r="F1018" s="617" t="s">
        <v>26</v>
      </c>
      <c r="G1018" s="624"/>
      <c r="O1018" s="616"/>
      <c r="P1018" s="616"/>
      <c r="Q1018" s="616"/>
      <c r="AA1018" s="624"/>
      <c r="AB1018" s="663">
        <v>39049006340</v>
      </c>
      <c r="AC1018" s="663" t="s">
        <v>5950</v>
      </c>
      <c r="AD1018" s="663" t="s">
        <v>4938</v>
      </c>
      <c r="AE1018" s="663" t="s">
        <v>4942</v>
      </c>
      <c r="AF1018" s="663" t="s">
        <v>4946</v>
      </c>
    </row>
    <row r="1019" spans="1:32" s="608" customFormat="1" x14ac:dyDescent="0.25">
      <c r="A1019" s="624"/>
      <c r="B1019" s="617">
        <v>39049004500</v>
      </c>
      <c r="C1019" s="617" t="s">
        <v>2687</v>
      </c>
      <c r="D1019" s="617" t="s">
        <v>49</v>
      </c>
      <c r="E1019" s="617" t="s">
        <v>4854</v>
      </c>
      <c r="F1019" s="617" t="s">
        <v>24</v>
      </c>
      <c r="G1019" s="624"/>
      <c r="O1019" s="616"/>
      <c r="P1019" s="616"/>
      <c r="Q1019" s="616"/>
      <c r="AA1019" s="624"/>
      <c r="AB1019" s="663">
        <v>39049006351</v>
      </c>
      <c r="AC1019" s="663" t="s">
        <v>5951</v>
      </c>
      <c r="AD1019" s="663" t="s">
        <v>4938</v>
      </c>
      <c r="AE1019" s="663" t="s">
        <v>4931</v>
      </c>
      <c r="AF1019" s="663" t="s">
        <v>4946</v>
      </c>
    </row>
    <row r="1020" spans="1:32" s="608" customFormat="1" x14ac:dyDescent="0.25">
      <c r="A1020" s="624"/>
      <c r="B1020" s="617">
        <v>39049004610</v>
      </c>
      <c r="C1020" s="617" t="s">
        <v>2688</v>
      </c>
      <c r="D1020" s="617" t="s">
        <v>49</v>
      </c>
      <c r="E1020" s="617" t="s">
        <v>4854</v>
      </c>
      <c r="F1020" s="617" t="s">
        <v>26</v>
      </c>
      <c r="G1020" s="624"/>
      <c r="O1020" s="616"/>
      <c r="P1020" s="616"/>
      <c r="Q1020" s="616"/>
      <c r="AA1020" s="624"/>
      <c r="AB1020" s="663">
        <v>39049006352</v>
      </c>
      <c r="AC1020" s="663" t="s">
        <v>5952</v>
      </c>
      <c r="AD1020" s="663" t="s">
        <v>4941</v>
      </c>
      <c r="AE1020" s="663" t="s">
        <v>4939</v>
      </c>
      <c r="AF1020" s="663" t="s">
        <v>4946</v>
      </c>
    </row>
    <row r="1021" spans="1:32" s="608" customFormat="1" x14ac:dyDescent="0.25">
      <c r="A1021" s="624"/>
      <c r="B1021" s="617">
        <v>39049004620</v>
      </c>
      <c r="C1021" s="617" t="s">
        <v>2689</v>
      </c>
      <c r="D1021" s="617" t="s">
        <v>49</v>
      </c>
      <c r="E1021" s="617" t="s">
        <v>4854</v>
      </c>
      <c r="F1021" s="617" t="s">
        <v>24</v>
      </c>
      <c r="G1021" s="624"/>
      <c r="O1021" s="616"/>
      <c r="P1021" s="616"/>
      <c r="Q1021" s="616"/>
      <c r="AA1021" s="624"/>
      <c r="AB1021" s="663">
        <v>39049006353</v>
      </c>
      <c r="AC1021" s="663" t="s">
        <v>5953</v>
      </c>
      <c r="AD1021" s="663" t="s">
        <v>4941</v>
      </c>
      <c r="AE1021" s="663" t="s">
        <v>4928</v>
      </c>
      <c r="AF1021" s="663" t="s">
        <v>4946</v>
      </c>
    </row>
    <row r="1022" spans="1:32" s="608" customFormat="1" x14ac:dyDescent="0.25">
      <c r="A1022" s="624"/>
      <c r="B1022" s="617">
        <v>39049004700</v>
      </c>
      <c r="C1022" s="617" t="s">
        <v>2690</v>
      </c>
      <c r="D1022" s="617" t="s">
        <v>49</v>
      </c>
      <c r="E1022" s="617" t="s">
        <v>4854</v>
      </c>
      <c r="F1022" s="617" t="s">
        <v>24</v>
      </c>
      <c r="G1022" s="624"/>
      <c r="O1022" s="616"/>
      <c r="P1022" s="616"/>
      <c r="Q1022" s="616"/>
      <c r="AA1022" s="624"/>
      <c r="AB1022" s="663">
        <v>39049006371</v>
      </c>
      <c r="AC1022" s="663" t="s">
        <v>5954</v>
      </c>
      <c r="AD1022" s="663" t="s">
        <v>4938</v>
      </c>
      <c r="AE1022" s="663" t="s">
        <v>4928</v>
      </c>
      <c r="AF1022" s="663" t="s">
        <v>4946</v>
      </c>
    </row>
    <row r="1023" spans="1:32" s="608" customFormat="1" x14ac:dyDescent="0.25">
      <c r="A1023" s="624"/>
      <c r="B1023" s="617">
        <v>39049004810</v>
      </c>
      <c r="C1023" s="617" t="s">
        <v>2691</v>
      </c>
      <c r="D1023" s="617" t="s">
        <v>49</v>
      </c>
      <c r="E1023" s="617" t="s">
        <v>4854</v>
      </c>
      <c r="F1023" s="617" t="s">
        <v>26</v>
      </c>
      <c r="G1023" s="624"/>
      <c r="O1023" s="616"/>
      <c r="P1023" s="616"/>
      <c r="Q1023" s="616"/>
      <c r="AA1023" s="624"/>
      <c r="AB1023" s="663">
        <v>39049006372</v>
      </c>
      <c r="AC1023" s="663" t="s">
        <v>5955</v>
      </c>
      <c r="AD1023" s="663" t="s">
        <v>4941</v>
      </c>
      <c r="AE1023" s="663" t="s">
        <v>4939</v>
      </c>
      <c r="AF1023" s="663" t="s">
        <v>4946</v>
      </c>
    </row>
    <row r="1024" spans="1:32" s="608" customFormat="1" x14ac:dyDescent="0.25">
      <c r="A1024" s="624"/>
      <c r="B1024" s="617">
        <v>39049004820</v>
      </c>
      <c r="C1024" s="617" t="s">
        <v>2692</v>
      </c>
      <c r="D1024" s="617" t="s">
        <v>49</v>
      </c>
      <c r="E1024" s="617" t="s">
        <v>4854</v>
      </c>
      <c r="F1024" s="617" t="s">
        <v>24</v>
      </c>
      <c r="G1024" s="624"/>
      <c r="O1024" s="616"/>
      <c r="P1024" s="616"/>
      <c r="Q1024" s="616"/>
      <c r="AA1024" s="624"/>
      <c r="AB1024" s="663">
        <v>39049006383</v>
      </c>
      <c r="AC1024" s="663" t="s">
        <v>5956</v>
      </c>
      <c r="AD1024" s="663" t="s">
        <v>4938</v>
      </c>
      <c r="AE1024" s="663" t="s">
        <v>4939</v>
      </c>
      <c r="AF1024" s="663" t="s">
        <v>4946</v>
      </c>
    </row>
    <row r="1025" spans="1:32" s="608" customFormat="1" x14ac:dyDescent="0.25">
      <c r="A1025" s="624"/>
      <c r="B1025" s="617">
        <v>39049004900</v>
      </c>
      <c r="C1025" s="617" t="s">
        <v>2693</v>
      </c>
      <c r="D1025" s="617" t="s">
        <v>49</v>
      </c>
      <c r="E1025" s="617" t="s">
        <v>4854</v>
      </c>
      <c r="F1025" s="617" t="s">
        <v>24</v>
      </c>
      <c r="G1025" s="624"/>
      <c r="O1025" s="616"/>
      <c r="P1025" s="616"/>
      <c r="Q1025" s="616"/>
      <c r="AA1025" s="624"/>
      <c r="AB1025" s="663">
        <v>39049006384</v>
      </c>
      <c r="AC1025" s="663" t="s">
        <v>5957</v>
      </c>
      <c r="AD1025" s="663" t="s">
        <v>4938</v>
      </c>
      <c r="AE1025" s="663" t="s">
        <v>4942</v>
      </c>
      <c r="AF1025" s="663" t="s">
        <v>4946</v>
      </c>
    </row>
    <row r="1026" spans="1:32" s="608" customFormat="1" x14ac:dyDescent="0.25">
      <c r="A1026" s="624"/>
      <c r="B1026" s="617">
        <v>39049005001</v>
      </c>
      <c r="C1026" s="617" t="s">
        <v>2694</v>
      </c>
      <c r="D1026" s="617" t="s">
        <v>49</v>
      </c>
      <c r="E1026" s="617" t="s">
        <v>4854</v>
      </c>
      <c r="F1026" s="617" t="s">
        <v>24</v>
      </c>
      <c r="G1026" s="624"/>
      <c r="O1026" s="616"/>
      <c r="P1026" s="616"/>
      <c r="Q1026" s="616"/>
      <c r="AA1026" s="624"/>
      <c r="AB1026" s="663">
        <v>39049006386</v>
      </c>
      <c r="AC1026" s="663" t="s">
        <v>5958</v>
      </c>
      <c r="AD1026" s="663" t="s">
        <v>4938</v>
      </c>
      <c r="AE1026" s="663" t="s">
        <v>4939</v>
      </c>
      <c r="AF1026" s="663" t="s">
        <v>4946</v>
      </c>
    </row>
    <row r="1027" spans="1:32" s="608" customFormat="1" x14ac:dyDescent="0.25">
      <c r="A1027" s="624"/>
      <c r="B1027" s="617">
        <v>39049005002</v>
      </c>
      <c r="C1027" s="617" t="s">
        <v>2695</v>
      </c>
      <c r="D1027" s="617" t="s">
        <v>49</v>
      </c>
      <c r="E1027" s="617" t="s">
        <v>4854</v>
      </c>
      <c r="F1027" s="617" t="s">
        <v>24</v>
      </c>
      <c r="G1027" s="624"/>
      <c r="O1027" s="616"/>
      <c r="P1027" s="616"/>
      <c r="Q1027" s="616"/>
      <c r="AA1027" s="624"/>
      <c r="AB1027" s="663">
        <v>39049006387</v>
      </c>
      <c r="AC1027" s="663" t="s">
        <v>5959</v>
      </c>
      <c r="AD1027" s="663" t="s">
        <v>4938</v>
      </c>
      <c r="AE1027" s="663" t="s">
        <v>4939</v>
      </c>
      <c r="AF1027" s="663" t="s">
        <v>4946</v>
      </c>
    </row>
    <row r="1028" spans="1:32" s="608" customFormat="1" x14ac:dyDescent="0.25">
      <c r="A1028" s="624"/>
      <c r="B1028" s="617">
        <v>39049005100</v>
      </c>
      <c r="C1028" s="617" t="s">
        <v>2696</v>
      </c>
      <c r="D1028" s="617" t="s">
        <v>49</v>
      </c>
      <c r="E1028" s="617" t="s">
        <v>4854</v>
      </c>
      <c r="F1028" s="617" t="s">
        <v>24</v>
      </c>
      <c r="G1028" s="624"/>
      <c r="O1028" s="616"/>
      <c r="P1028" s="616"/>
      <c r="Q1028" s="616"/>
      <c r="AA1028" s="624"/>
      <c r="AB1028" s="663">
        <v>39049006391</v>
      </c>
      <c r="AC1028" s="663" t="s">
        <v>5960</v>
      </c>
      <c r="AD1028" s="663" t="s">
        <v>4938</v>
      </c>
      <c r="AE1028" s="663" t="s">
        <v>4928</v>
      </c>
      <c r="AF1028" s="663" t="s">
        <v>4946</v>
      </c>
    </row>
    <row r="1029" spans="1:32" s="608" customFormat="1" x14ac:dyDescent="0.25">
      <c r="A1029" s="624"/>
      <c r="B1029" s="617">
        <v>39049005200</v>
      </c>
      <c r="C1029" s="617" t="s">
        <v>2697</v>
      </c>
      <c r="D1029" s="617" t="s">
        <v>49</v>
      </c>
      <c r="E1029" s="617" t="s">
        <v>4854</v>
      </c>
      <c r="F1029" s="617" t="s">
        <v>26</v>
      </c>
      <c r="G1029" s="624"/>
      <c r="O1029" s="616"/>
      <c r="P1029" s="616"/>
      <c r="Q1029" s="616"/>
      <c r="AA1029" s="624"/>
      <c r="AB1029" s="663">
        <v>39049006392</v>
      </c>
      <c r="AC1029" s="663" t="s">
        <v>5961</v>
      </c>
      <c r="AD1029" s="663" t="s">
        <v>4938</v>
      </c>
      <c r="AE1029" s="663" t="s">
        <v>4931</v>
      </c>
      <c r="AF1029" s="663" t="s">
        <v>4946</v>
      </c>
    </row>
    <row r="1030" spans="1:32" s="608" customFormat="1" x14ac:dyDescent="0.25">
      <c r="A1030" s="624"/>
      <c r="B1030" s="617">
        <v>39049005300</v>
      </c>
      <c r="C1030" s="617" t="s">
        <v>2698</v>
      </c>
      <c r="D1030" s="617" t="s">
        <v>49</v>
      </c>
      <c r="E1030" s="617" t="s">
        <v>4854</v>
      </c>
      <c r="F1030" s="617" t="s">
        <v>24</v>
      </c>
      <c r="G1030" s="624"/>
      <c r="O1030" s="616"/>
      <c r="P1030" s="616"/>
      <c r="Q1030" s="616"/>
      <c r="AA1030" s="624"/>
      <c r="AB1030" s="663">
        <v>39049006393</v>
      </c>
      <c r="AC1030" s="663" t="s">
        <v>5962</v>
      </c>
      <c r="AD1030" s="663" t="s">
        <v>4938</v>
      </c>
      <c r="AE1030" s="663" t="s">
        <v>4939</v>
      </c>
      <c r="AF1030" s="663" t="s">
        <v>4946</v>
      </c>
    </row>
    <row r="1031" spans="1:32" s="608" customFormat="1" x14ac:dyDescent="0.25">
      <c r="A1031" s="624"/>
      <c r="B1031" s="617">
        <v>39049005410</v>
      </c>
      <c r="C1031" s="617" t="s">
        <v>2699</v>
      </c>
      <c r="D1031" s="617" t="s">
        <v>49</v>
      </c>
      <c r="E1031" s="617" t="s">
        <v>4854</v>
      </c>
      <c r="F1031" s="617" t="s">
        <v>24</v>
      </c>
      <c r="G1031" s="624"/>
      <c r="O1031" s="616"/>
      <c r="P1031" s="616"/>
      <c r="Q1031" s="616"/>
      <c r="AA1031" s="624"/>
      <c r="AB1031" s="663">
        <v>39049006394</v>
      </c>
      <c r="AC1031" s="663" t="s">
        <v>5963</v>
      </c>
      <c r="AD1031" s="663" t="s">
        <v>4938</v>
      </c>
      <c r="AE1031" s="663" t="s">
        <v>4931</v>
      </c>
      <c r="AF1031" s="663" t="s">
        <v>4946</v>
      </c>
    </row>
    <row r="1032" spans="1:32" s="608" customFormat="1" x14ac:dyDescent="0.25">
      <c r="A1032" s="624"/>
      <c r="B1032" s="617">
        <v>39049005420</v>
      </c>
      <c r="C1032" s="617" t="s">
        <v>2700</v>
      </c>
      <c r="D1032" s="617" t="s">
        <v>49</v>
      </c>
      <c r="E1032" s="617" t="s">
        <v>4854</v>
      </c>
      <c r="F1032" s="617" t="s">
        <v>24</v>
      </c>
      <c r="G1032" s="624"/>
      <c r="O1032" s="616"/>
      <c r="P1032" s="616"/>
      <c r="Q1032" s="616"/>
      <c r="AA1032" s="624"/>
      <c r="AB1032" s="663">
        <v>39049006395</v>
      </c>
      <c r="AC1032" s="663" t="s">
        <v>5964</v>
      </c>
      <c r="AD1032" s="663" t="s">
        <v>4938</v>
      </c>
      <c r="AE1032" s="663" t="s">
        <v>4939</v>
      </c>
      <c r="AF1032" s="663" t="s">
        <v>4946</v>
      </c>
    </row>
    <row r="1033" spans="1:32" s="608" customFormat="1" x14ac:dyDescent="0.25">
      <c r="A1033" s="624"/>
      <c r="B1033" s="617">
        <v>39049005500</v>
      </c>
      <c r="C1033" s="617" t="s">
        <v>2701</v>
      </c>
      <c r="D1033" s="617" t="s">
        <v>49</v>
      </c>
      <c r="E1033" s="617" t="s">
        <v>4854</v>
      </c>
      <c r="F1033" s="617" t="s">
        <v>24</v>
      </c>
      <c r="G1033" s="624"/>
      <c r="O1033" s="616"/>
      <c r="P1033" s="616"/>
      <c r="Q1033" s="616"/>
      <c r="AA1033" s="624"/>
      <c r="AB1033" s="663">
        <v>39049006396</v>
      </c>
      <c r="AC1033" s="663" t="s">
        <v>5965</v>
      </c>
      <c r="AD1033" s="663" t="s">
        <v>4941</v>
      </c>
      <c r="AE1033" s="663" t="s">
        <v>4931</v>
      </c>
      <c r="AF1033" s="663" t="s">
        <v>4946</v>
      </c>
    </row>
    <row r="1034" spans="1:32" s="608" customFormat="1" x14ac:dyDescent="0.25">
      <c r="A1034" s="624"/>
      <c r="B1034" s="617">
        <v>39049005610</v>
      </c>
      <c r="C1034" s="617" t="s">
        <v>2702</v>
      </c>
      <c r="D1034" s="617" t="s">
        <v>49</v>
      </c>
      <c r="E1034" s="617" t="s">
        <v>4854</v>
      </c>
      <c r="F1034" s="617" t="s">
        <v>24</v>
      </c>
      <c r="G1034" s="624"/>
      <c r="O1034" s="616"/>
      <c r="P1034" s="616"/>
      <c r="Q1034" s="616"/>
      <c r="AA1034" s="624"/>
      <c r="AB1034" s="663">
        <v>39049006410</v>
      </c>
      <c r="AC1034" s="663" t="s">
        <v>5966</v>
      </c>
      <c r="AD1034" s="663" t="s">
        <v>4938</v>
      </c>
      <c r="AE1034" s="663" t="s">
        <v>4934</v>
      </c>
      <c r="AF1034" s="663" t="s">
        <v>4946</v>
      </c>
    </row>
    <row r="1035" spans="1:32" s="608" customFormat="1" x14ac:dyDescent="0.25">
      <c r="A1035" s="624"/>
      <c r="B1035" s="617">
        <v>39049005620</v>
      </c>
      <c r="C1035" s="617" t="s">
        <v>2703</v>
      </c>
      <c r="D1035" s="617" t="s">
        <v>49</v>
      </c>
      <c r="E1035" s="617" t="s">
        <v>4854</v>
      </c>
      <c r="F1035" s="617" t="s">
        <v>24</v>
      </c>
      <c r="G1035" s="624"/>
      <c r="O1035" s="616"/>
      <c r="P1035" s="616"/>
      <c r="Q1035" s="616"/>
      <c r="AA1035" s="624"/>
      <c r="AB1035" s="663">
        <v>39049006430</v>
      </c>
      <c r="AC1035" s="663" t="s">
        <v>5967</v>
      </c>
      <c r="AD1035" s="663" t="s">
        <v>4938</v>
      </c>
      <c r="AE1035" s="663" t="s">
        <v>4931</v>
      </c>
      <c r="AF1035" s="663" t="s">
        <v>4946</v>
      </c>
    </row>
    <row r="1036" spans="1:32" s="608" customFormat="1" x14ac:dyDescent="0.25">
      <c r="A1036" s="624"/>
      <c r="B1036" s="617">
        <v>39049005700</v>
      </c>
      <c r="C1036" s="617" t="s">
        <v>2704</v>
      </c>
      <c r="D1036" s="617" t="s">
        <v>49</v>
      </c>
      <c r="E1036" s="617" t="s">
        <v>4854</v>
      </c>
      <c r="F1036" s="617" t="s">
        <v>26</v>
      </c>
      <c r="G1036" s="624"/>
      <c r="O1036" s="616"/>
      <c r="P1036" s="616"/>
      <c r="Q1036" s="616"/>
      <c r="AA1036" s="624"/>
      <c r="AB1036" s="663">
        <v>39049006500</v>
      </c>
      <c r="AC1036" s="663" t="s">
        <v>5968</v>
      </c>
      <c r="AD1036" s="663" t="s">
        <v>4938</v>
      </c>
      <c r="AE1036" s="663" t="s">
        <v>4934</v>
      </c>
      <c r="AF1036" s="663" t="s">
        <v>4946</v>
      </c>
    </row>
    <row r="1037" spans="1:32" s="608" customFormat="1" x14ac:dyDescent="0.25">
      <c r="A1037" s="624"/>
      <c r="B1037" s="617">
        <v>39049005810</v>
      </c>
      <c r="C1037" s="617" t="s">
        <v>2705</v>
      </c>
      <c r="D1037" s="617" t="s">
        <v>49</v>
      </c>
      <c r="E1037" s="617" t="s">
        <v>4854</v>
      </c>
      <c r="F1037" s="617" t="s">
        <v>26</v>
      </c>
      <c r="G1037" s="624"/>
      <c r="O1037" s="616"/>
      <c r="P1037" s="616"/>
      <c r="Q1037" s="616"/>
      <c r="AA1037" s="624"/>
      <c r="AB1037" s="663">
        <v>39049006600</v>
      </c>
      <c r="AC1037" s="663" t="s">
        <v>5969</v>
      </c>
      <c r="AD1037" s="663" t="s">
        <v>4938</v>
      </c>
      <c r="AE1037" s="663" t="s">
        <v>4939</v>
      </c>
      <c r="AF1037" s="663" t="s">
        <v>4946</v>
      </c>
    </row>
    <row r="1038" spans="1:32" s="608" customFormat="1" x14ac:dyDescent="0.25">
      <c r="A1038" s="624"/>
      <c r="B1038" s="617">
        <v>39049005820</v>
      </c>
      <c r="C1038" s="617" t="s">
        <v>2706</v>
      </c>
      <c r="D1038" s="617" t="s">
        <v>49</v>
      </c>
      <c r="E1038" s="617" t="s">
        <v>4854</v>
      </c>
      <c r="F1038" s="617" t="s">
        <v>26</v>
      </c>
      <c r="G1038" s="624"/>
      <c r="O1038" s="616"/>
      <c r="P1038" s="616"/>
      <c r="Q1038" s="616"/>
      <c r="AA1038" s="624"/>
      <c r="AB1038" s="663">
        <v>39049006710</v>
      </c>
      <c r="AC1038" s="663" t="s">
        <v>5970</v>
      </c>
      <c r="AD1038" s="663" t="s">
        <v>4938</v>
      </c>
      <c r="AE1038" s="663" t="s">
        <v>4934</v>
      </c>
      <c r="AF1038" s="663" t="s">
        <v>4946</v>
      </c>
    </row>
    <row r="1039" spans="1:32" s="608" customFormat="1" x14ac:dyDescent="0.25">
      <c r="A1039" s="624"/>
      <c r="B1039" s="617">
        <v>39049005900</v>
      </c>
      <c r="C1039" s="617" t="s">
        <v>2707</v>
      </c>
      <c r="D1039" s="617" t="s">
        <v>49</v>
      </c>
      <c r="E1039" s="617" t="s">
        <v>4854</v>
      </c>
      <c r="F1039" s="617" t="s">
        <v>24</v>
      </c>
      <c r="G1039" s="624"/>
      <c r="O1039" s="616"/>
      <c r="P1039" s="616"/>
      <c r="Q1039" s="616"/>
      <c r="AA1039" s="624"/>
      <c r="AB1039" s="663">
        <v>39049006721</v>
      </c>
      <c r="AC1039" s="663" t="s">
        <v>5971</v>
      </c>
      <c r="AD1039" s="663" t="s">
        <v>4938</v>
      </c>
      <c r="AE1039" s="663" t="s">
        <v>4942</v>
      </c>
      <c r="AF1039" s="663" t="s">
        <v>4946</v>
      </c>
    </row>
    <row r="1040" spans="1:32" s="608" customFormat="1" x14ac:dyDescent="0.25">
      <c r="A1040" s="624"/>
      <c r="B1040" s="617">
        <v>39049006000</v>
      </c>
      <c r="C1040" s="617" t="s">
        <v>2708</v>
      </c>
      <c r="D1040" s="617" t="s">
        <v>49</v>
      </c>
      <c r="E1040" s="617" t="s">
        <v>4854</v>
      </c>
      <c r="F1040" s="617" t="s">
        <v>24</v>
      </c>
      <c r="G1040" s="624"/>
      <c r="O1040" s="616"/>
      <c r="P1040" s="616"/>
      <c r="Q1040" s="616"/>
      <c r="AA1040" s="624"/>
      <c r="AB1040" s="663">
        <v>39049006722</v>
      </c>
      <c r="AC1040" s="663" t="s">
        <v>5972</v>
      </c>
      <c r="AD1040" s="663" t="s">
        <v>4938</v>
      </c>
      <c r="AE1040" s="663" t="s">
        <v>4934</v>
      </c>
      <c r="AF1040" s="663" t="s">
        <v>4946</v>
      </c>
    </row>
    <row r="1041" spans="1:32" s="608" customFormat="1" x14ac:dyDescent="0.25">
      <c r="A1041" s="624"/>
      <c r="B1041" s="617">
        <v>39049006100</v>
      </c>
      <c r="C1041" s="617" t="s">
        <v>2709</v>
      </c>
      <c r="D1041" s="617" t="s">
        <v>49</v>
      </c>
      <c r="E1041" s="617" t="s">
        <v>4854</v>
      </c>
      <c r="F1041" s="617" t="s">
        <v>24</v>
      </c>
      <c r="G1041" s="624"/>
      <c r="O1041" s="616"/>
      <c r="P1041" s="616"/>
      <c r="Q1041" s="616"/>
      <c r="AA1041" s="624"/>
      <c r="AB1041" s="663">
        <v>39049006810</v>
      </c>
      <c r="AC1041" s="663" t="s">
        <v>5973</v>
      </c>
      <c r="AD1041" s="663" t="s">
        <v>4938</v>
      </c>
      <c r="AE1041" s="663" t="s">
        <v>4931</v>
      </c>
      <c r="AF1041" s="663" t="s">
        <v>4946</v>
      </c>
    </row>
    <row r="1042" spans="1:32" s="608" customFormat="1" x14ac:dyDescent="0.25">
      <c r="A1042" s="624"/>
      <c r="B1042" s="617">
        <v>39049006236</v>
      </c>
      <c r="C1042" s="617" t="s">
        <v>2710</v>
      </c>
      <c r="D1042" s="617" t="s">
        <v>49</v>
      </c>
      <c r="E1042" s="617" t="s">
        <v>4854</v>
      </c>
      <c r="F1042" s="617" t="s">
        <v>26</v>
      </c>
      <c r="G1042" s="624"/>
      <c r="O1042" s="616"/>
      <c r="P1042" s="616"/>
      <c r="Q1042" s="616"/>
      <c r="AA1042" s="624"/>
      <c r="AB1042" s="663">
        <v>39049006821</v>
      </c>
      <c r="AC1042" s="663" t="s">
        <v>5974</v>
      </c>
      <c r="AD1042" s="663" t="s">
        <v>4948</v>
      </c>
      <c r="AE1042" s="663" t="s">
        <v>4931</v>
      </c>
      <c r="AF1042" s="663" t="s">
        <v>4946</v>
      </c>
    </row>
    <row r="1043" spans="1:32" s="608" customFormat="1" x14ac:dyDescent="0.25">
      <c r="A1043" s="624"/>
      <c r="B1043" s="617">
        <v>39049006237</v>
      </c>
      <c r="C1043" s="617" t="s">
        <v>2711</v>
      </c>
      <c r="D1043" s="617" t="s">
        <v>49</v>
      </c>
      <c r="E1043" s="617" t="s">
        <v>4854</v>
      </c>
      <c r="F1043" s="617" t="s">
        <v>26</v>
      </c>
      <c r="G1043" s="624"/>
      <c r="O1043" s="616"/>
      <c r="P1043" s="616"/>
      <c r="Q1043" s="616"/>
      <c r="AA1043" s="624"/>
      <c r="AB1043" s="663">
        <v>39049006822</v>
      </c>
      <c r="AC1043" s="663" t="s">
        <v>5975</v>
      </c>
      <c r="AD1043" s="663" t="s">
        <v>4938</v>
      </c>
      <c r="AE1043" s="663" t="s">
        <v>4939</v>
      </c>
      <c r="AF1043" s="663" t="s">
        <v>4946</v>
      </c>
    </row>
    <row r="1044" spans="1:32" s="608" customFormat="1" x14ac:dyDescent="0.25">
      <c r="A1044" s="624"/>
      <c r="B1044" s="617">
        <v>39049006238</v>
      </c>
      <c r="C1044" s="617" t="s">
        <v>2712</v>
      </c>
      <c r="D1044" s="617" t="s">
        <v>49</v>
      </c>
      <c r="E1044" s="617" t="s">
        <v>4854</v>
      </c>
      <c r="F1044" s="617" t="s">
        <v>26</v>
      </c>
      <c r="G1044" s="624"/>
      <c r="O1044" s="616"/>
      <c r="P1044" s="616"/>
      <c r="Q1044" s="616"/>
      <c r="AA1044" s="624"/>
      <c r="AB1044" s="663">
        <v>39049006910</v>
      </c>
      <c r="AC1044" s="663" t="s">
        <v>5976</v>
      </c>
      <c r="AD1044" s="663" t="s">
        <v>4938</v>
      </c>
      <c r="AE1044" s="663" t="s">
        <v>4934</v>
      </c>
      <c r="AF1044" s="663" t="s">
        <v>4946</v>
      </c>
    </row>
    <row r="1045" spans="1:32" s="608" customFormat="1" x14ac:dyDescent="0.25">
      <c r="A1045" s="624"/>
      <c r="B1045" s="617">
        <v>39049006239</v>
      </c>
      <c r="C1045" s="617" t="s">
        <v>2713</v>
      </c>
      <c r="D1045" s="617" t="s">
        <v>49</v>
      </c>
      <c r="E1045" s="617" t="s">
        <v>4854</v>
      </c>
      <c r="F1045" s="617" t="s">
        <v>26</v>
      </c>
      <c r="G1045" s="624"/>
      <c r="O1045" s="616"/>
      <c r="P1045" s="616"/>
      <c r="Q1045" s="616"/>
      <c r="AA1045" s="624"/>
      <c r="AB1045" s="663">
        <v>39049006921</v>
      </c>
      <c r="AC1045" s="663" t="s">
        <v>5977</v>
      </c>
      <c r="AD1045" s="663" t="s">
        <v>4950</v>
      </c>
      <c r="AE1045" s="663" t="s">
        <v>4931</v>
      </c>
      <c r="AF1045" s="663" t="s">
        <v>4946</v>
      </c>
    </row>
    <row r="1046" spans="1:32" s="608" customFormat="1" x14ac:dyDescent="0.25">
      <c r="A1046" s="624"/>
      <c r="B1046" s="617">
        <v>39049006240</v>
      </c>
      <c r="C1046" s="617" t="s">
        <v>2714</v>
      </c>
      <c r="D1046" s="617" t="s">
        <v>49</v>
      </c>
      <c r="E1046" s="617" t="s">
        <v>4854</v>
      </c>
      <c r="F1046" s="617" t="s">
        <v>26</v>
      </c>
      <c r="G1046" s="624"/>
      <c r="O1046" s="616"/>
      <c r="P1046" s="616"/>
      <c r="Q1046" s="616"/>
      <c r="AA1046" s="624"/>
      <c r="AB1046" s="663">
        <v>39049006923</v>
      </c>
      <c r="AC1046" s="663" t="s">
        <v>5978</v>
      </c>
      <c r="AD1046" s="663" t="s">
        <v>4948</v>
      </c>
      <c r="AE1046" s="663" t="s">
        <v>4931</v>
      </c>
      <c r="AF1046" s="663" t="s">
        <v>4946</v>
      </c>
    </row>
    <row r="1047" spans="1:32" s="608" customFormat="1" x14ac:dyDescent="0.25">
      <c r="A1047" s="624"/>
      <c r="B1047" s="617">
        <v>39049006241</v>
      </c>
      <c r="C1047" s="617" t="s">
        <v>2715</v>
      </c>
      <c r="D1047" s="617" t="s">
        <v>49</v>
      </c>
      <c r="E1047" s="617" t="s">
        <v>4854</v>
      </c>
      <c r="F1047" s="617" t="s">
        <v>26</v>
      </c>
      <c r="G1047" s="624"/>
      <c r="O1047" s="616"/>
      <c r="P1047" s="616"/>
      <c r="Q1047" s="616"/>
      <c r="AA1047" s="624"/>
      <c r="AB1047" s="663">
        <v>39049006924</v>
      </c>
      <c r="AC1047" s="663" t="s">
        <v>5979</v>
      </c>
      <c r="AD1047" s="663" t="s">
        <v>4950</v>
      </c>
      <c r="AE1047" s="663" t="s">
        <v>4931</v>
      </c>
      <c r="AF1047" s="663" t="s">
        <v>4946</v>
      </c>
    </row>
    <row r="1048" spans="1:32" s="608" customFormat="1" x14ac:dyDescent="0.25">
      <c r="A1048" s="624"/>
      <c r="B1048" s="617">
        <v>39049006301</v>
      </c>
      <c r="C1048" s="617" t="s">
        <v>2716</v>
      </c>
      <c r="D1048" s="617" t="s">
        <v>49</v>
      </c>
      <c r="E1048" s="617" t="s">
        <v>4854</v>
      </c>
      <c r="F1048" s="617" t="s">
        <v>26</v>
      </c>
      <c r="G1048" s="624"/>
      <c r="O1048" s="616"/>
      <c r="P1048" s="616"/>
      <c r="Q1048" s="616"/>
      <c r="AA1048" s="624"/>
      <c r="AB1048" s="663">
        <v>39049006931</v>
      </c>
      <c r="AC1048" s="663" t="s">
        <v>5980</v>
      </c>
      <c r="AD1048" s="663" t="s">
        <v>4950</v>
      </c>
      <c r="AE1048" s="663" t="s">
        <v>4939</v>
      </c>
      <c r="AF1048" s="663" t="s">
        <v>4946</v>
      </c>
    </row>
    <row r="1049" spans="1:32" s="608" customFormat="1" x14ac:dyDescent="0.25">
      <c r="A1049" s="624"/>
      <c r="B1049" s="617">
        <v>39049006302</v>
      </c>
      <c r="C1049" s="617" t="s">
        <v>2717</v>
      </c>
      <c r="D1049" s="617" t="s">
        <v>49</v>
      </c>
      <c r="E1049" s="617" t="s">
        <v>4854</v>
      </c>
      <c r="F1049" s="617" t="s">
        <v>26</v>
      </c>
      <c r="G1049" s="624"/>
      <c r="O1049" s="616"/>
      <c r="P1049" s="616"/>
      <c r="Q1049" s="616"/>
      <c r="AA1049" s="624"/>
      <c r="AB1049" s="663">
        <v>39049006932</v>
      </c>
      <c r="AC1049" s="663" t="s">
        <v>5981</v>
      </c>
      <c r="AD1049" s="663" t="s">
        <v>4950</v>
      </c>
      <c r="AE1049" s="663" t="s">
        <v>4928</v>
      </c>
      <c r="AF1049" s="663" t="s">
        <v>4946</v>
      </c>
    </row>
    <row r="1050" spans="1:32" s="608" customFormat="1" x14ac:dyDescent="0.25">
      <c r="A1050" s="624"/>
      <c r="B1050" s="617">
        <v>39049006310</v>
      </c>
      <c r="C1050" s="617" t="s">
        <v>2718</v>
      </c>
      <c r="D1050" s="617" t="s">
        <v>49</v>
      </c>
      <c r="E1050" s="617" t="s">
        <v>4854</v>
      </c>
      <c r="F1050" s="617" t="s">
        <v>26</v>
      </c>
      <c r="G1050" s="624"/>
      <c r="O1050" s="616"/>
      <c r="P1050" s="616"/>
      <c r="Q1050" s="616"/>
      <c r="AA1050" s="624"/>
      <c r="AB1050" s="663">
        <v>39049006933</v>
      </c>
      <c r="AC1050" s="663" t="s">
        <v>5982</v>
      </c>
      <c r="AD1050" s="663" t="s">
        <v>4927</v>
      </c>
      <c r="AE1050" s="663" t="s">
        <v>4942</v>
      </c>
      <c r="AF1050" s="663" t="s">
        <v>4946</v>
      </c>
    </row>
    <row r="1051" spans="1:32" s="608" customFormat="1" x14ac:dyDescent="0.25">
      <c r="A1051" s="624"/>
      <c r="B1051" s="617">
        <v>39049006321</v>
      </c>
      <c r="C1051" s="617" t="s">
        <v>2719</v>
      </c>
      <c r="D1051" s="617" t="s">
        <v>49</v>
      </c>
      <c r="E1051" s="617" t="s">
        <v>4854</v>
      </c>
      <c r="F1051" s="617" t="s">
        <v>26</v>
      </c>
      <c r="G1051" s="624"/>
      <c r="O1051" s="616"/>
      <c r="P1051" s="616"/>
      <c r="Q1051" s="616"/>
      <c r="AA1051" s="624"/>
      <c r="AB1051" s="663">
        <v>39049006942</v>
      </c>
      <c r="AC1051" s="663" t="s">
        <v>5983</v>
      </c>
      <c r="AD1051" s="663" t="s">
        <v>4950</v>
      </c>
      <c r="AE1051" s="663" t="s">
        <v>5006</v>
      </c>
      <c r="AF1051" s="663" t="s">
        <v>4946</v>
      </c>
    </row>
    <row r="1052" spans="1:32" s="608" customFormat="1" x14ac:dyDescent="0.25">
      <c r="A1052" s="624"/>
      <c r="B1052" s="617">
        <v>39049006323</v>
      </c>
      <c r="C1052" s="617" t="s">
        <v>2720</v>
      </c>
      <c r="D1052" s="617" t="s">
        <v>49</v>
      </c>
      <c r="E1052" s="617" t="s">
        <v>4854</v>
      </c>
      <c r="F1052" s="617" t="s">
        <v>26</v>
      </c>
      <c r="G1052" s="624"/>
      <c r="O1052" s="616"/>
      <c r="P1052" s="616"/>
      <c r="Q1052" s="616"/>
      <c r="AA1052" s="624"/>
      <c r="AB1052" s="663">
        <v>39049006943</v>
      </c>
      <c r="AC1052" s="663" t="s">
        <v>5984</v>
      </c>
      <c r="AD1052" s="663" t="s">
        <v>4950</v>
      </c>
      <c r="AE1052" s="663" t="s">
        <v>4934</v>
      </c>
      <c r="AF1052" s="663" t="s">
        <v>4946</v>
      </c>
    </row>
    <row r="1053" spans="1:32" s="608" customFormat="1" x14ac:dyDescent="0.25">
      <c r="A1053" s="624"/>
      <c r="B1053" s="617">
        <v>39049006330</v>
      </c>
      <c r="C1053" s="617" t="s">
        <v>2721</v>
      </c>
      <c r="D1053" s="617" t="s">
        <v>49</v>
      </c>
      <c r="E1053" s="617" t="s">
        <v>4854</v>
      </c>
      <c r="F1053" s="617" t="s">
        <v>26</v>
      </c>
      <c r="G1053" s="624"/>
      <c r="O1053" s="616"/>
      <c r="P1053" s="616"/>
      <c r="Q1053" s="616"/>
      <c r="AA1053" s="624"/>
      <c r="AB1053" s="663">
        <v>39049006944</v>
      </c>
      <c r="AC1053" s="663" t="s">
        <v>5985</v>
      </c>
      <c r="AD1053" s="663" t="s">
        <v>4941</v>
      </c>
      <c r="AE1053" s="663" t="s">
        <v>4939</v>
      </c>
      <c r="AF1053" s="663" t="s">
        <v>4946</v>
      </c>
    </row>
    <row r="1054" spans="1:32" s="608" customFormat="1" x14ac:dyDescent="0.25">
      <c r="A1054" s="624"/>
      <c r="B1054" s="617">
        <v>39049006340</v>
      </c>
      <c r="C1054" s="617" t="s">
        <v>2722</v>
      </c>
      <c r="D1054" s="617" t="s">
        <v>49</v>
      </c>
      <c r="E1054" s="617" t="s">
        <v>4854</v>
      </c>
      <c r="F1054" s="617" t="s">
        <v>26</v>
      </c>
      <c r="G1054" s="624"/>
      <c r="O1054" s="616"/>
      <c r="P1054" s="616"/>
      <c r="Q1054" s="616"/>
      <c r="AA1054" s="624"/>
      <c r="AB1054" s="663">
        <v>39049006945</v>
      </c>
      <c r="AC1054" s="663" t="s">
        <v>5986</v>
      </c>
      <c r="AD1054" s="663" t="s">
        <v>4950</v>
      </c>
      <c r="AE1054" s="663" t="s">
        <v>4934</v>
      </c>
      <c r="AF1054" s="663" t="s">
        <v>4946</v>
      </c>
    </row>
    <row r="1055" spans="1:32" s="608" customFormat="1" x14ac:dyDescent="0.25">
      <c r="A1055" s="624"/>
      <c r="B1055" s="617">
        <v>39049006351</v>
      </c>
      <c r="C1055" s="617" t="s">
        <v>2723</v>
      </c>
      <c r="D1055" s="617" t="s">
        <v>49</v>
      </c>
      <c r="E1055" s="617" t="s">
        <v>4854</v>
      </c>
      <c r="F1055" s="617" t="s">
        <v>26</v>
      </c>
      <c r="G1055" s="624"/>
      <c r="O1055" s="616"/>
      <c r="P1055" s="616"/>
      <c r="Q1055" s="616"/>
      <c r="AA1055" s="624"/>
      <c r="AB1055" s="663">
        <v>39049006950</v>
      </c>
      <c r="AC1055" s="663" t="s">
        <v>5987</v>
      </c>
      <c r="AD1055" s="663" t="s">
        <v>4938</v>
      </c>
      <c r="AE1055" s="663" t="s">
        <v>4928</v>
      </c>
      <c r="AF1055" s="663" t="s">
        <v>4946</v>
      </c>
    </row>
    <row r="1056" spans="1:32" s="608" customFormat="1" x14ac:dyDescent="0.25">
      <c r="A1056" s="624"/>
      <c r="B1056" s="617">
        <v>39049006352</v>
      </c>
      <c r="C1056" s="617" t="s">
        <v>2724</v>
      </c>
      <c r="D1056" s="617" t="s">
        <v>49</v>
      </c>
      <c r="E1056" s="617" t="s">
        <v>4854</v>
      </c>
      <c r="F1056" s="617" t="s">
        <v>26</v>
      </c>
      <c r="G1056" s="624"/>
      <c r="O1056" s="616"/>
      <c r="P1056" s="616"/>
      <c r="Q1056" s="616"/>
      <c r="AA1056" s="624"/>
      <c r="AB1056" s="663">
        <v>39049006990</v>
      </c>
      <c r="AC1056" s="663" t="s">
        <v>5988</v>
      </c>
      <c r="AD1056" s="663" t="s">
        <v>4948</v>
      </c>
      <c r="AE1056" s="663" t="s">
        <v>4931</v>
      </c>
      <c r="AF1056" s="663" t="s">
        <v>4946</v>
      </c>
    </row>
    <row r="1057" spans="1:32" s="608" customFormat="1" x14ac:dyDescent="0.25">
      <c r="A1057" s="624"/>
      <c r="B1057" s="617">
        <v>39049006353</v>
      </c>
      <c r="C1057" s="617" t="s">
        <v>2725</v>
      </c>
      <c r="D1057" s="617" t="s">
        <v>49</v>
      </c>
      <c r="E1057" s="617" t="s">
        <v>4854</v>
      </c>
      <c r="F1057" s="617" t="s">
        <v>26</v>
      </c>
      <c r="G1057" s="624"/>
      <c r="O1057" s="616"/>
      <c r="P1057" s="616"/>
      <c r="Q1057" s="616"/>
      <c r="AA1057" s="624"/>
      <c r="AB1057" s="663">
        <v>39049007010</v>
      </c>
      <c r="AC1057" s="663" t="s">
        <v>5989</v>
      </c>
      <c r="AD1057" s="663" t="s">
        <v>4941</v>
      </c>
      <c r="AE1057" s="663" t="s">
        <v>4931</v>
      </c>
      <c r="AF1057" s="663" t="s">
        <v>4946</v>
      </c>
    </row>
    <row r="1058" spans="1:32" s="608" customFormat="1" x14ac:dyDescent="0.25">
      <c r="A1058" s="624"/>
      <c r="B1058" s="617">
        <v>39049006372</v>
      </c>
      <c r="C1058" s="617" t="s">
        <v>2726</v>
      </c>
      <c r="D1058" s="617" t="s">
        <v>49</v>
      </c>
      <c r="E1058" s="617" t="s">
        <v>4854</v>
      </c>
      <c r="F1058" s="617" t="s">
        <v>26</v>
      </c>
      <c r="G1058" s="624"/>
      <c r="O1058" s="616"/>
      <c r="P1058" s="616"/>
      <c r="Q1058" s="616"/>
      <c r="AA1058" s="624"/>
      <c r="AB1058" s="663">
        <v>39049007020</v>
      </c>
      <c r="AC1058" s="663" t="s">
        <v>5990</v>
      </c>
      <c r="AD1058" s="663" t="s">
        <v>4941</v>
      </c>
      <c r="AE1058" s="663" t="s">
        <v>4931</v>
      </c>
      <c r="AF1058" s="663" t="s">
        <v>4946</v>
      </c>
    </row>
    <row r="1059" spans="1:32" s="608" customFormat="1" x14ac:dyDescent="0.25">
      <c r="A1059" s="624"/>
      <c r="B1059" s="617">
        <v>39049006384</v>
      </c>
      <c r="C1059" s="617" t="s">
        <v>2727</v>
      </c>
      <c r="D1059" s="617" t="s">
        <v>49</v>
      </c>
      <c r="E1059" s="617" t="s">
        <v>4854</v>
      </c>
      <c r="F1059" s="617" t="s">
        <v>26</v>
      </c>
      <c r="G1059" s="624"/>
      <c r="O1059" s="616"/>
      <c r="P1059" s="616"/>
      <c r="Q1059" s="616"/>
      <c r="AA1059" s="624"/>
      <c r="AB1059" s="663">
        <v>39049007041</v>
      </c>
      <c r="AC1059" s="663" t="s">
        <v>5991</v>
      </c>
      <c r="AD1059" s="663" t="s">
        <v>4938</v>
      </c>
      <c r="AE1059" s="663" t="s">
        <v>4934</v>
      </c>
      <c r="AF1059" s="663" t="s">
        <v>4946</v>
      </c>
    </row>
    <row r="1060" spans="1:32" s="608" customFormat="1" x14ac:dyDescent="0.25">
      <c r="A1060" s="624"/>
      <c r="B1060" s="617">
        <v>39049006386</v>
      </c>
      <c r="C1060" s="617" t="s">
        <v>2728</v>
      </c>
      <c r="D1060" s="617" t="s">
        <v>49</v>
      </c>
      <c r="E1060" s="617" t="s">
        <v>4854</v>
      </c>
      <c r="F1060" s="617" t="s">
        <v>26</v>
      </c>
      <c r="G1060" s="624"/>
      <c r="O1060" s="616"/>
      <c r="P1060" s="616"/>
      <c r="Q1060" s="616"/>
      <c r="AA1060" s="624"/>
      <c r="AB1060" s="663">
        <v>39049007043</v>
      </c>
      <c r="AC1060" s="663" t="s">
        <v>5992</v>
      </c>
      <c r="AD1060" s="663" t="s">
        <v>4941</v>
      </c>
      <c r="AE1060" s="663" t="s">
        <v>4934</v>
      </c>
      <c r="AF1060" s="663" t="s">
        <v>4946</v>
      </c>
    </row>
    <row r="1061" spans="1:32" s="608" customFormat="1" x14ac:dyDescent="0.25">
      <c r="A1061" s="624"/>
      <c r="B1061" s="617">
        <v>39049006387</v>
      </c>
      <c r="C1061" s="617" t="s">
        <v>2729</v>
      </c>
      <c r="D1061" s="617" t="s">
        <v>49</v>
      </c>
      <c r="E1061" s="617" t="s">
        <v>4854</v>
      </c>
      <c r="F1061" s="617" t="s">
        <v>26</v>
      </c>
      <c r="G1061" s="624"/>
      <c r="O1061" s="616"/>
      <c r="P1061" s="616"/>
      <c r="Q1061" s="616"/>
      <c r="AA1061" s="624"/>
      <c r="AB1061" s="663">
        <v>39049007044</v>
      </c>
      <c r="AC1061" s="663" t="s">
        <v>5993</v>
      </c>
      <c r="AD1061" s="663" t="s">
        <v>4938</v>
      </c>
      <c r="AE1061" s="663" t="s">
        <v>4942</v>
      </c>
      <c r="AF1061" s="663" t="s">
        <v>4946</v>
      </c>
    </row>
    <row r="1062" spans="1:32" s="608" customFormat="1" x14ac:dyDescent="0.25">
      <c r="A1062" s="624"/>
      <c r="B1062" s="617">
        <v>39049006391</v>
      </c>
      <c r="C1062" s="617" t="s">
        <v>2730</v>
      </c>
      <c r="D1062" s="617" t="s">
        <v>49</v>
      </c>
      <c r="E1062" s="617" t="s">
        <v>4854</v>
      </c>
      <c r="F1062" s="617" t="s">
        <v>26</v>
      </c>
      <c r="G1062" s="624"/>
      <c r="O1062" s="616"/>
      <c r="P1062" s="616"/>
      <c r="Q1062" s="616"/>
      <c r="AA1062" s="624"/>
      <c r="AB1062" s="663">
        <v>39049007047</v>
      </c>
      <c r="AC1062" s="663" t="s">
        <v>5994</v>
      </c>
      <c r="AD1062" s="663" t="s">
        <v>4941</v>
      </c>
      <c r="AE1062" s="663" t="s">
        <v>4939</v>
      </c>
      <c r="AF1062" s="663" t="s">
        <v>4946</v>
      </c>
    </row>
    <row r="1063" spans="1:32" s="608" customFormat="1" x14ac:dyDescent="0.25">
      <c r="A1063" s="624"/>
      <c r="B1063" s="617">
        <v>39049006392</v>
      </c>
      <c r="C1063" s="617" t="s">
        <v>2731</v>
      </c>
      <c r="D1063" s="617" t="s">
        <v>49</v>
      </c>
      <c r="E1063" s="617" t="s">
        <v>4854</v>
      </c>
      <c r="F1063" s="617" t="s">
        <v>26</v>
      </c>
      <c r="G1063" s="624"/>
      <c r="O1063" s="616"/>
      <c r="P1063" s="616"/>
      <c r="Q1063" s="616"/>
      <c r="AA1063" s="624"/>
      <c r="AB1063" s="663">
        <v>39049007048</v>
      </c>
      <c r="AC1063" s="663" t="s">
        <v>5995</v>
      </c>
      <c r="AD1063" s="663" t="s">
        <v>4941</v>
      </c>
      <c r="AE1063" s="663" t="s">
        <v>4934</v>
      </c>
      <c r="AF1063" s="663" t="s">
        <v>4946</v>
      </c>
    </row>
    <row r="1064" spans="1:32" s="608" customFormat="1" x14ac:dyDescent="0.25">
      <c r="A1064" s="624"/>
      <c r="B1064" s="617">
        <v>39049006393</v>
      </c>
      <c r="C1064" s="617" t="s">
        <v>2732</v>
      </c>
      <c r="D1064" s="617" t="s">
        <v>49</v>
      </c>
      <c r="E1064" s="617" t="s">
        <v>4854</v>
      </c>
      <c r="F1064" s="617" t="s">
        <v>26</v>
      </c>
      <c r="G1064" s="624"/>
      <c r="O1064" s="616"/>
      <c r="P1064" s="616"/>
      <c r="Q1064" s="616"/>
      <c r="AA1064" s="624"/>
      <c r="AB1064" s="663">
        <v>39049007112</v>
      </c>
      <c r="AC1064" s="663" t="s">
        <v>5996</v>
      </c>
      <c r="AD1064" s="663" t="s">
        <v>4950</v>
      </c>
      <c r="AE1064" s="663" t="s">
        <v>4934</v>
      </c>
      <c r="AF1064" s="663" t="s">
        <v>4946</v>
      </c>
    </row>
    <row r="1065" spans="1:32" s="608" customFormat="1" x14ac:dyDescent="0.25">
      <c r="A1065" s="624"/>
      <c r="B1065" s="617">
        <v>39049006394</v>
      </c>
      <c r="C1065" s="617" t="s">
        <v>2733</v>
      </c>
      <c r="D1065" s="617" t="s">
        <v>49</v>
      </c>
      <c r="E1065" s="617" t="s">
        <v>4854</v>
      </c>
      <c r="F1065" s="617" t="s">
        <v>26</v>
      </c>
      <c r="G1065" s="624"/>
      <c r="O1065" s="616"/>
      <c r="P1065" s="616"/>
      <c r="Q1065" s="616"/>
      <c r="AA1065" s="624"/>
      <c r="AB1065" s="663">
        <v>39049007113</v>
      </c>
      <c r="AC1065" s="663" t="s">
        <v>5997</v>
      </c>
      <c r="AD1065" s="663" t="s">
        <v>4950</v>
      </c>
      <c r="AE1065" s="663" t="s">
        <v>4928</v>
      </c>
      <c r="AF1065" s="663" t="s">
        <v>4946</v>
      </c>
    </row>
    <row r="1066" spans="1:32" s="608" customFormat="1" x14ac:dyDescent="0.25">
      <c r="A1066" s="624"/>
      <c r="B1066" s="617">
        <v>39049006395</v>
      </c>
      <c r="C1066" s="617" t="s">
        <v>2734</v>
      </c>
      <c r="D1066" s="617" t="s">
        <v>49</v>
      </c>
      <c r="E1066" s="617" t="s">
        <v>4854</v>
      </c>
      <c r="F1066" s="617" t="s">
        <v>26</v>
      </c>
      <c r="G1066" s="624"/>
      <c r="O1066" s="616"/>
      <c r="P1066" s="616"/>
      <c r="Q1066" s="616"/>
      <c r="AA1066" s="624"/>
      <c r="AB1066" s="663">
        <v>39049007114</v>
      </c>
      <c r="AC1066" s="663" t="s">
        <v>5998</v>
      </c>
      <c r="AD1066" s="663" t="s">
        <v>4948</v>
      </c>
      <c r="AE1066" s="663" t="s">
        <v>4928</v>
      </c>
      <c r="AF1066" s="663" t="s">
        <v>4946</v>
      </c>
    </row>
    <row r="1067" spans="1:32" s="608" customFormat="1" x14ac:dyDescent="0.25">
      <c r="A1067" s="624"/>
      <c r="B1067" s="617">
        <v>39049006396</v>
      </c>
      <c r="C1067" s="617" t="s">
        <v>2735</v>
      </c>
      <c r="D1067" s="617" t="s">
        <v>49</v>
      </c>
      <c r="E1067" s="617" t="s">
        <v>4854</v>
      </c>
      <c r="F1067" s="617" t="s">
        <v>26</v>
      </c>
      <c r="G1067" s="624"/>
      <c r="O1067" s="616"/>
      <c r="P1067" s="616"/>
      <c r="Q1067" s="616"/>
      <c r="AA1067" s="624"/>
      <c r="AB1067" s="663">
        <v>39049007115</v>
      </c>
      <c r="AC1067" s="663" t="s">
        <v>5999</v>
      </c>
      <c r="AD1067" s="663" t="s">
        <v>4948</v>
      </c>
      <c r="AE1067" s="663" t="s">
        <v>4934</v>
      </c>
      <c r="AF1067" s="663" t="s">
        <v>4946</v>
      </c>
    </row>
    <row r="1068" spans="1:32" s="608" customFormat="1" x14ac:dyDescent="0.25">
      <c r="A1068" s="624"/>
      <c r="B1068" s="617">
        <v>39049006397</v>
      </c>
      <c r="C1068" s="617" t="s">
        <v>2736</v>
      </c>
      <c r="D1068" s="617" t="s">
        <v>49</v>
      </c>
      <c r="E1068" s="617" t="s">
        <v>4854</v>
      </c>
      <c r="F1068" s="617" t="s">
        <v>26</v>
      </c>
      <c r="G1068" s="624"/>
      <c r="O1068" s="616"/>
      <c r="P1068" s="616"/>
      <c r="Q1068" s="616"/>
      <c r="AA1068" s="624"/>
      <c r="AB1068" s="663">
        <v>39049007120</v>
      </c>
      <c r="AC1068" s="663" t="s">
        <v>6000</v>
      </c>
      <c r="AD1068" s="663" t="s">
        <v>4941</v>
      </c>
      <c r="AE1068" s="663" t="s">
        <v>4939</v>
      </c>
      <c r="AF1068" s="663" t="s">
        <v>4946</v>
      </c>
    </row>
    <row r="1069" spans="1:32" s="608" customFormat="1" x14ac:dyDescent="0.25">
      <c r="A1069" s="624"/>
      <c r="B1069" s="617">
        <v>39049006398</v>
      </c>
      <c r="C1069" s="617" t="s">
        <v>2737</v>
      </c>
      <c r="D1069" s="617" t="s">
        <v>49</v>
      </c>
      <c r="E1069" s="617" t="s">
        <v>4854</v>
      </c>
      <c r="F1069" s="617" t="s">
        <v>26</v>
      </c>
      <c r="G1069" s="624"/>
      <c r="O1069" s="616"/>
      <c r="P1069" s="616"/>
      <c r="Q1069" s="616"/>
      <c r="AA1069" s="624"/>
      <c r="AB1069" s="663">
        <v>39049007132</v>
      </c>
      <c r="AC1069" s="663" t="s">
        <v>6001</v>
      </c>
      <c r="AD1069" s="663" t="s">
        <v>4941</v>
      </c>
      <c r="AE1069" s="663" t="s">
        <v>4931</v>
      </c>
      <c r="AF1069" s="663" t="s">
        <v>4946</v>
      </c>
    </row>
    <row r="1070" spans="1:32" s="608" customFormat="1" x14ac:dyDescent="0.25">
      <c r="A1070" s="624"/>
      <c r="B1070" s="617">
        <v>39049006410</v>
      </c>
      <c r="C1070" s="617" t="s">
        <v>2738</v>
      </c>
      <c r="D1070" s="617" t="s">
        <v>49</v>
      </c>
      <c r="E1070" s="617" t="s">
        <v>4854</v>
      </c>
      <c r="F1070" s="617" t="s">
        <v>26</v>
      </c>
      <c r="G1070" s="624"/>
      <c r="O1070" s="616"/>
      <c r="P1070" s="616"/>
      <c r="Q1070" s="616"/>
      <c r="AA1070" s="624"/>
      <c r="AB1070" s="663">
        <v>39049007193</v>
      </c>
      <c r="AC1070" s="663" t="s">
        <v>6002</v>
      </c>
      <c r="AD1070" s="663" t="s">
        <v>4941</v>
      </c>
      <c r="AE1070" s="663" t="s">
        <v>4934</v>
      </c>
      <c r="AF1070" s="663" t="s">
        <v>4946</v>
      </c>
    </row>
    <row r="1071" spans="1:32" s="608" customFormat="1" x14ac:dyDescent="0.25">
      <c r="A1071" s="624"/>
      <c r="B1071" s="617">
        <v>39049006430</v>
      </c>
      <c r="C1071" s="617" t="s">
        <v>2739</v>
      </c>
      <c r="D1071" s="617" t="s">
        <v>49</v>
      </c>
      <c r="E1071" s="617" t="s">
        <v>4854</v>
      </c>
      <c r="F1071" s="617" t="s">
        <v>26</v>
      </c>
      <c r="G1071" s="624"/>
      <c r="O1071" s="616"/>
      <c r="P1071" s="616"/>
      <c r="Q1071" s="616"/>
      <c r="AA1071" s="624"/>
      <c r="AB1071" s="663">
        <v>39049007194</v>
      </c>
      <c r="AC1071" s="663" t="s">
        <v>6003</v>
      </c>
      <c r="AD1071" s="663" t="s">
        <v>4938</v>
      </c>
      <c r="AE1071" s="663" t="s">
        <v>4931</v>
      </c>
      <c r="AF1071" s="663" t="s">
        <v>4946</v>
      </c>
    </row>
    <row r="1072" spans="1:32" s="608" customFormat="1" x14ac:dyDescent="0.25">
      <c r="A1072" s="624"/>
      <c r="B1072" s="617">
        <v>39049006500</v>
      </c>
      <c r="C1072" s="617" t="s">
        <v>2740</v>
      </c>
      <c r="D1072" s="617" t="s">
        <v>49</v>
      </c>
      <c r="E1072" s="617" t="s">
        <v>4854</v>
      </c>
      <c r="F1072" s="617" t="s">
        <v>26</v>
      </c>
      <c r="G1072" s="624"/>
      <c r="O1072" s="616"/>
      <c r="P1072" s="616"/>
      <c r="Q1072" s="616"/>
      <c r="AA1072" s="624"/>
      <c r="AB1072" s="663">
        <v>39049007198</v>
      </c>
      <c r="AC1072" s="663" t="s">
        <v>6004</v>
      </c>
      <c r="AD1072" s="663" t="s">
        <v>4941</v>
      </c>
      <c r="AE1072" s="663" t="s">
        <v>4928</v>
      </c>
      <c r="AF1072" s="663" t="s">
        <v>4946</v>
      </c>
    </row>
    <row r="1073" spans="1:32" s="608" customFormat="1" x14ac:dyDescent="0.25">
      <c r="A1073" s="624"/>
      <c r="B1073" s="617">
        <v>39049006600</v>
      </c>
      <c r="C1073" s="617" t="s">
        <v>2741</v>
      </c>
      <c r="D1073" s="617" t="s">
        <v>49</v>
      </c>
      <c r="E1073" s="617" t="s">
        <v>4854</v>
      </c>
      <c r="F1073" s="617" t="s">
        <v>26</v>
      </c>
      <c r="G1073" s="624"/>
      <c r="O1073" s="616"/>
      <c r="P1073" s="616"/>
      <c r="Q1073" s="616"/>
      <c r="AA1073" s="624"/>
      <c r="AB1073" s="663">
        <v>39049007199</v>
      </c>
      <c r="AC1073" s="663" t="s">
        <v>6005</v>
      </c>
      <c r="AD1073" s="663" t="s">
        <v>4948</v>
      </c>
      <c r="AE1073" s="663" t="s">
        <v>4942</v>
      </c>
      <c r="AF1073" s="663" t="s">
        <v>4946</v>
      </c>
    </row>
    <row r="1074" spans="1:32" s="608" customFormat="1" x14ac:dyDescent="0.25">
      <c r="A1074" s="624"/>
      <c r="B1074" s="617">
        <v>39049006710</v>
      </c>
      <c r="C1074" s="617" t="s">
        <v>2742</v>
      </c>
      <c r="D1074" s="617" t="s">
        <v>49</v>
      </c>
      <c r="E1074" s="617" t="s">
        <v>4854</v>
      </c>
      <c r="F1074" s="617" t="s">
        <v>26</v>
      </c>
      <c r="G1074" s="624"/>
      <c r="O1074" s="616"/>
      <c r="P1074" s="616"/>
      <c r="Q1074" s="616"/>
      <c r="AA1074" s="624"/>
      <c r="AB1074" s="663">
        <v>39049007201</v>
      </c>
      <c r="AC1074" s="663" t="s">
        <v>6006</v>
      </c>
      <c r="AD1074" s="663" t="s">
        <v>4938</v>
      </c>
      <c r="AE1074" s="663" t="s">
        <v>4934</v>
      </c>
      <c r="AF1074" s="663" t="s">
        <v>4929</v>
      </c>
    </row>
    <row r="1075" spans="1:32" s="608" customFormat="1" x14ac:dyDescent="0.25">
      <c r="A1075" s="624"/>
      <c r="B1075" s="617">
        <v>39049006721</v>
      </c>
      <c r="C1075" s="617" t="s">
        <v>2743</v>
      </c>
      <c r="D1075" s="617" t="s">
        <v>49</v>
      </c>
      <c r="E1075" s="617" t="s">
        <v>4854</v>
      </c>
      <c r="F1075" s="617" t="s">
        <v>26</v>
      </c>
      <c r="G1075" s="624"/>
      <c r="O1075" s="616"/>
      <c r="P1075" s="616"/>
      <c r="Q1075" s="616"/>
      <c r="AA1075" s="624"/>
      <c r="AB1075" s="663">
        <v>39049007202</v>
      </c>
      <c r="AC1075" s="663" t="s">
        <v>6007</v>
      </c>
      <c r="AD1075" s="663" t="s">
        <v>4950</v>
      </c>
      <c r="AE1075" s="663" t="s">
        <v>4931</v>
      </c>
      <c r="AF1075" s="663" t="s">
        <v>4946</v>
      </c>
    </row>
    <row r="1076" spans="1:32" s="608" customFormat="1" x14ac:dyDescent="0.25">
      <c r="A1076" s="624"/>
      <c r="B1076" s="617">
        <v>39049006722</v>
      </c>
      <c r="C1076" s="617" t="s">
        <v>2744</v>
      </c>
      <c r="D1076" s="617" t="s">
        <v>49</v>
      </c>
      <c r="E1076" s="617" t="s">
        <v>4854</v>
      </c>
      <c r="F1076" s="617" t="s">
        <v>26</v>
      </c>
      <c r="G1076" s="624"/>
      <c r="O1076" s="616"/>
      <c r="P1076" s="616"/>
      <c r="Q1076" s="616"/>
      <c r="AA1076" s="624"/>
      <c r="AB1076" s="663">
        <v>39049007203</v>
      </c>
      <c r="AC1076" s="663" t="s">
        <v>6008</v>
      </c>
      <c r="AD1076" s="663" t="s">
        <v>4938</v>
      </c>
      <c r="AE1076" s="663" t="s">
        <v>4939</v>
      </c>
      <c r="AF1076" s="663" t="s">
        <v>4946</v>
      </c>
    </row>
    <row r="1077" spans="1:32" s="608" customFormat="1" x14ac:dyDescent="0.25">
      <c r="A1077" s="624"/>
      <c r="B1077" s="617">
        <v>39049006810</v>
      </c>
      <c r="C1077" s="617" t="s">
        <v>2745</v>
      </c>
      <c r="D1077" s="617" t="s">
        <v>49</v>
      </c>
      <c r="E1077" s="617" t="s">
        <v>4854</v>
      </c>
      <c r="F1077" s="617" t="s">
        <v>26</v>
      </c>
      <c r="G1077" s="624"/>
      <c r="O1077" s="616"/>
      <c r="P1077" s="616"/>
      <c r="Q1077" s="616"/>
      <c r="AA1077" s="624"/>
      <c r="AB1077" s="663">
        <v>39049007205</v>
      </c>
      <c r="AC1077" s="663" t="s">
        <v>6009</v>
      </c>
      <c r="AD1077" s="663" t="s">
        <v>4941</v>
      </c>
      <c r="AE1077" s="663" t="s">
        <v>4931</v>
      </c>
      <c r="AF1077" s="663" t="s">
        <v>4946</v>
      </c>
    </row>
    <row r="1078" spans="1:32" s="608" customFormat="1" x14ac:dyDescent="0.25">
      <c r="A1078" s="624"/>
      <c r="B1078" s="617">
        <v>39049006821</v>
      </c>
      <c r="C1078" s="617" t="s">
        <v>2746</v>
      </c>
      <c r="D1078" s="617" t="s">
        <v>49</v>
      </c>
      <c r="E1078" s="617" t="s">
        <v>4854</v>
      </c>
      <c r="F1078" s="617" t="s">
        <v>26</v>
      </c>
      <c r="G1078" s="624"/>
      <c r="O1078" s="616"/>
      <c r="P1078" s="616"/>
      <c r="Q1078" s="616"/>
      <c r="AA1078" s="624"/>
      <c r="AB1078" s="663">
        <v>39049007207</v>
      </c>
      <c r="AC1078" s="663" t="s">
        <v>6010</v>
      </c>
      <c r="AD1078" s="663" t="s">
        <v>4941</v>
      </c>
      <c r="AE1078" s="663" t="s">
        <v>4942</v>
      </c>
      <c r="AF1078" s="663" t="s">
        <v>4946</v>
      </c>
    </row>
    <row r="1079" spans="1:32" s="608" customFormat="1" x14ac:dyDescent="0.25">
      <c r="A1079" s="624"/>
      <c r="B1079" s="617">
        <v>39049006822</v>
      </c>
      <c r="C1079" s="617" t="s">
        <v>2747</v>
      </c>
      <c r="D1079" s="617" t="s">
        <v>49</v>
      </c>
      <c r="E1079" s="617" t="s">
        <v>4854</v>
      </c>
      <c r="F1079" s="617" t="s">
        <v>26</v>
      </c>
      <c r="G1079" s="624"/>
      <c r="O1079" s="616"/>
      <c r="P1079" s="616"/>
      <c r="Q1079" s="616"/>
      <c r="AA1079" s="624"/>
      <c r="AB1079" s="663">
        <v>39049007209</v>
      </c>
      <c r="AC1079" s="663" t="s">
        <v>6011</v>
      </c>
      <c r="AD1079" s="663" t="s">
        <v>4938</v>
      </c>
      <c r="AE1079" s="663" t="s">
        <v>4934</v>
      </c>
      <c r="AF1079" s="663" t="s">
        <v>4946</v>
      </c>
    </row>
    <row r="1080" spans="1:32" s="608" customFormat="1" x14ac:dyDescent="0.25">
      <c r="A1080" s="624"/>
      <c r="B1080" s="617">
        <v>39049006910</v>
      </c>
      <c r="C1080" s="617" t="s">
        <v>2748</v>
      </c>
      <c r="D1080" s="617" t="s">
        <v>49</v>
      </c>
      <c r="E1080" s="617" t="s">
        <v>4854</v>
      </c>
      <c r="F1080" s="617" t="s">
        <v>26</v>
      </c>
      <c r="G1080" s="624"/>
      <c r="O1080" s="616"/>
      <c r="P1080" s="616"/>
      <c r="Q1080" s="616"/>
      <c r="AA1080" s="624"/>
      <c r="AB1080" s="663">
        <v>39049007210</v>
      </c>
      <c r="AC1080" s="663" t="s">
        <v>6012</v>
      </c>
      <c r="AD1080" s="663" t="s">
        <v>4938</v>
      </c>
      <c r="AE1080" s="663" t="s">
        <v>4928</v>
      </c>
      <c r="AF1080" s="663" t="s">
        <v>4946</v>
      </c>
    </row>
    <row r="1081" spans="1:32" s="608" customFormat="1" x14ac:dyDescent="0.25">
      <c r="A1081" s="624"/>
      <c r="B1081" s="617">
        <v>39049006921</v>
      </c>
      <c r="C1081" s="617" t="s">
        <v>2749</v>
      </c>
      <c r="D1081" s="617" t="s">
        <v>49</v>
      </c>
      <c r="E1081" s="617" t="s">
        <v>4854</v>
      </c>
      <c r="F1081" s="617" t="s">
        <v>26</v>
      </c>
      <c r="G1081" s="624"/>
      <c r="O1081" s="616"/>
      <c r="P1081" s="616"/>
      <c r="Q1081" s="616"/>
      <c r="AA1081" s="624"/>
      <c r="AB1081" s="663">
        <v>39049007393</v>
      </c>
      <c r="AC1081" s="663" t="s">
        <v>6013</v>
      </c>
      <c r="AD1081" s="663" t="s">
        <v>4938</v>
      </c>
      <c r="AE1081" s="663" t="s">
        <v>4931</v>
      </c>
      <c r="AF1081" s="663" t="s">
        <v>4946</v>
      </c>
    </row>
    <row r="1082" spans="1:32" s="608" customFormat="1" x14ac:dyDescent="0.25">
      <c r="A1082" s="624"/>
      <c r="B1082" s="617">
        <v>39049006923</v>
      </c>
      <c r="C1082" s="617" t="s">
        <v>2750</v>
      </c>
      <c r="D1082" s="617" t="s">
        <v>49</v>
      </c>
      <c r="E1082" s="617" t="s">
        <v>4854</v>
      </c>
      <c r="F1082" s="617" t="s">
        <v>26</v>
      </c>
      <c r="G1082" s="624"/>
      <c r="O1082" s="616"/>
      <c r="P1082" s="616"/>
      <c r="Q1082" s="616"/>
      <c r="AA1082" s="624"/>
      <c r="AB1082" s="663">
        <v>39049007394</v>
      </c>
      <c r="AC1082" s="663" t="s">
        <v>6014</v>
      </c>
      <c r="AD1082" s="663" t="s">
        <v>4938</v>
      </c>
      <c r="AE1082" s="663" t="s">
        <v>4928</v>
      </c>
      <c r="AF1082" s="663" t="s">
        <v>4946</v>
      </c>
    </row>
    <row r="1083" spans="1:32" s="608" customFormat="1" x14ac:dyDescent="0.25">
      <c r="A1083" s="624"/>
      <c r="B1083" s="617">
        <v>39049006924</v>
      </c>
      <c r="C1083" s="617" t="s">
        <v>2751</v>
      </c>
      <c r="D1083" s="617" t="s">
        <v>49</v>
      </c>
      <c r="E1083" s="617" t="s">
        <v>4854</v>
      </c>
      <c r="F1083" s="617" t="s">
        <v>26</v>
      </c>
      <c r="G1083" s="624"/>
      <c r="O1083" s="616"/>
      <c r="P1083" s="616"/>
      <c r="Q1083" s="616"/>
      <c r="AA1083" s="624"/>
      <c r="AB1083" s="663">
        <v>39049007395</v>
      </c>
      <c r="AC1083" s="663" t="s">
        <v>6015</v>
      </c>
      <c r="AD1083" s="663" t="s">
        <v>4948</v>
      </c>
      <c r="AE1083" s="663" t="s">
        <v>4942</v>
      </c>
      <c r="AF1083" s="663" t="s">
        <v>4946</v>
      </c>
    </row>
    <row r="1084" spans="1:32" s="608" customFormat="1" x14ac:dyDescent="0.25">
      <c r="A1084" s="624"/>
      <c r="B1084" s="617">
        <v>39049006931</v>
      </c>
      <c r="C1084" s="617" t="s">
        <v>2752</v>
      </c>
      <c r="D1084" s="617" t="s">
        <v>49</v>
      </c>
      <c r="E1084" s="617" t="s">
        <v>4854</v>
      </c>
      <c r="F1084" s="617" t="s">
        <v>24</v>
      </c>
      <c r="G1084" s="624"/>
      <c r="O1084" s="616"/>
      <c r="P1084" s="616"/>
      <c r="Q1084" s="616"/>
      <c r="AA1084" s="624"/>
      <c r="AB1084" s="663">
        <v>39049007396</v>
      </c>
      <c r="AC1084" s="663" t="s">
        <v>6016</v>
      </c>
      <c r="AD1084" s="663" t="s">
        <v>4950</v>
      </c>
      <c r="AE1084" s="663" t="s">
        <v>4934</v>
      </c>
      <c r="AF1084" s="663" t="s">
        <v>4946</v>
      </c>
    </row>
    <row r="1085" spans="1:32" s="608" customFormat="1" x14ac:dyDescent="0.25">
      <c r="A1085" s="624"/>
      <c r="B1085" s="617">
        <v>39049006932</v>
      </c>
      <c r="C1085" s="617" t="s">
        <v>2753</v>
      </c>
      <c r="D1085" s="617" t="s">
        <v>49</v>
      </c>
      <c r="E1085" s="617" t="s">
        <v>4854</v>
      </c>
      <c r="F1085" s="617" t="s">
        <v>26</v>
      </c>
      <c r="G1085" s="624"/>
      <c r="O1085" s="616"/>
      <c r="P1085" s="616"/>
      <c r="Q1085" s="616"/>
      <c r="AA1085" s="624"/>
      <c r="AB1085" s="663">
        <v>39049007424</v>
      </c>
      <c r="AC1085" s="663" t="s">
        <v>6017</v>
      </c>
      <c r="AD1085" s="663" t="s">
        <v>4941</v>
      </c>
      <c r="AE1085" s="663" t="s">
        <v>4934</v>
      </c>
      <c r="AF1085" s="663" t="s">
        <v>4946</v>
      </c>
    </row>
    <row r="1086" spans="1:32" s="608" customFormat="1" x14ac:dyDescent="0.25">
      <c r="A1086" s="624"/>
      <c r="B1086" s="617">
        <v>39049006933</v>
      </c>
      <c r="C1086" s="617" t="s">
        <v>2754</v>
      </c>
      <c r="D1086" s="617" t="s">
        <v>49</v>
      </c>
      <c r="E1086" s="617" t="s">
        <v>4854</v>
      </c>
      <c r="F1086" s="617" t="s">
        <v>24</v>
      </c>
      <c r="G1086" s="624"/>
      <c r="O1086" s="616"/>
      <c r="P1086" s="616"/>
      <c r="Q1086" s="616"/>
      <c r="AA1086" s="624"/>
      <c r="AB1086" s="663">
        <v>39049007425</v>
      </c>
      <c r="AC1086" s="663" t="s">
        <v>6018</v>
      </c>
      <c r="AD1086" s="663" t="s">
        <v>4941</v>
      </c>
      <c r="AE1086" s="663" t="s">
        <v>4934</v>
      </c>
      <c r="AF1086" s="663" t="s">
        <v>4946</v>
      </c>
    </row>
    <row r="1087" spans="1:32" s="608" customFormat="1" x14ac:dyDescent="0.25">
      <c r="A1087" s="624"/>
      <c r="B1087" s="617">
        <v>39049006943</v>
      </c>
      <c r="C1087" s="617" t="s">
        <v>2755</v>
      </c>
      <c r="D1087" s="617" t="s">
        <v>49</v>
      </c>
      <c r="E1087" s="617" t="s">
        <v>4854</v>
      </c>
      <c r="F1087" s="617" t="s">
        <v>26</v>
      </c>
      <c r="G1087" s="624"/>
      <c r="O1087" s="616"/>
      <c r="P1087" s="616"/>
      <c r="Q1087" s="616"/>
      <c r="AA1087" s="624"/>
      <c r="AB1087" s="663">
        <v>39049007426</v>
      </c>
      <c r="AC1087" s="663" t="s">
        <v>6019</v>
      </c>
      <c r="AD1087" s="663" t="s">
        <v>4938</v>
      </c>
      <c r="AE1087" s="663" t="s">
        <v>4939</v>
      </c>
      <c r="AF1087" s="663" t="s">
        <v>4946</v>
      </c>
    </row>
    <row r="1088" spans="1:32" s="608" customFormat="1" x14ac:dyDescent="0.25">
      <c r="A1088" s="624"/>
      <c r="B1088" s="617">
        <v>39049006944</v>
      </c>
      <c r="C1088" s="617" t="s">
        <v>2756</v>
      </c>
      <c r="D1088" s="617" t="s">
        <v>49</v>
      </c>
      <c r="E1088" s="617" t="s">
        <v>4854</v>
      </c>
      <c r="F1088" s="617" t="s">
        <v>26</v>
      </c>
      <c r="G1088" s="624"/>
      <c r="O1088" s="616"/>
      <c r="P1088" s="616"/>
      <c r="Q1088" s="616"/>
      <c r="AA1088" s="624"/>
      <c r="AB1088" s="663">
        <v>39049007427</v>
      </c>
      <c r="AC1088" s="663" t="s">
        <v>6020</v>
      </c>
      <c r="AD1088" s="663" t="s">
        <v>4938</v>
      </c>
      <c r="AE1088" s="663" t="s">
        <v>4942</v>
      </c>
      <c r="AF1088" s="663" t="s">
        <v>4946</v>
      </c>
    </row>
    <row r="1089" spans="1:32" s="608" customFormat="1" x14ac:dyDescent="0.25">
      <c r="A1089" s="624"/>
      <c r="B1089" s="617">
        <v>39049006945</v>
      </c>
      <c r="C1089" s="617" t="s">
        <v>2757</v>
      </c>
      <c r="D1089" s="617" t="s">
        <v>49</v>
      </c>
      <c r="E1089" s="617" t="s">
        <v>4854</v>
      </c>
      <c r="F1089" s="617" t="s">
        <v>24</v>
      </c>
      <c r="G1089" s="624"/>
      <c r="O1089" s="616"/>
      <c r="P1089" s="616"/>
      <c r="Q1089" s="616"/>
      <c r="AA1089" s="624"/>
      <c r="AB1089" s="663">
        <v>39049007492</v>
      </c>
      <c r="AC1089" s="663" t="s">
        <v>6021</v>
      </c>
      <c r="AD1089" s="663" t="s">
        <v>4938</v>
      </c>
      <c r="AE1089" s="663" t="s">
        <v>4931</v>
      </c>
      <c r="AF1089" s="663" t="s">
        <v>4946</v>
      </c>
    </row>
    <row r="1090" spans="1:32" s="608" customFormat="1" x14ac:dyDescent="0.25">
      <c r="A1090" s="624"/>
      <c r="B1090" s="617">
        <v>39049006950</v>
      </c>
      <c r="C1090" s="617" t="s">
        <v>2758</v>
      </c>
      <c r="D1090" s="617" t="s">
        <v>49</v>
      </c>
      <c r="E1090" s="617" t="s">
        <v>4854</v>
      </c>
      <c r="F1090" s="617" t="s">
        <v>26</v>
      </c>
      <c r="G1090" s="624"/>
      <c r="O1090" s="616"/>
      <c r="P1090" s="616"/>
      <c r="Q1090" s="616"/>
      <c r="AA1090" s="624"/>
      <c r="AB1090" s="663">
        <v>39049007494</v>
      </c>
      <c r="AC1090" s="663" t="s">
        <v>6022</v>
      </c>
      <c r="AD1090" s="663" t="s">
        <v>4941</v>
      </c>
      <c r="AE1090" s="663" t="s">
        <v>4931</v>
      </c>
      <c r="AF1090" s="663" t="s">
        <v>4946</v>
      </c>
    </row>
    <row r="1091" spans="1:32" s="608" customFormat="1" x14ac:dyDescent="0.25">
      <c r="A1091" s="624"/>
      <c r="B1091" s="617">
        <v>39049006991</v>
      </c>
      <c r="C1091" s="617" t="s">
        <v>2759</v>
      </c>
      <c r="D1091" s="617" t="s">
        <v>49</v>
      </c>
      <c r="E1091" s="617" t="s">
        <v>4854</v>
      </c>
      <c r="F1091" s="617" t="s">
        <v>26</v>
      </c>
      <c r="G1091" s="624"/>
      <c r="O1091" s="616"/>
      <c r="P1091" s="616"/>
      <c r="Q1091" s="616"/>
      <c r="AA1091" s="624"/>
      <c r="AB1091" s="663">
        <v>39049007511</v>
      </c>
      <c r="AC1091" s="663" t="s">
        <v>6023</v>
      </c>
      <c r="AD1091" s="663" t="s">
        <v>4927</v>
      </c>
      <c r="AE1091" s="663" t="s">
        <v>4942</v>
      </c>
      <c r="AF1091" s="663" t="s">
        <v>4946</v>
      </c>
    </row>
    <row r="1092" spans="1:32" s="608" customFormat="1" x14ac:dyDescent="0.25">
      <c r="A1092" s="624"/>
      <c r="B1092" s="617">
        <v>39049006992</v>
      </c>
      <c r="C1092" s="617" t="s">
        <v>2760</v>
      </c>
      <c r="D1092" s="617" t="s">
        <v>49</v>
      </c>
      <c r="E1092" s="617" t="s">
        <v>4854</v>
      </c>
      <c r="F1092" s="617" t="s">
        <v>26</v>
      </c>
      <c r="G1092" s="624"/>
      <c r="O1092" s="616"/>
      <c r="P1092" s="616"/>
      <c r="Q1092" s="616"/>
      <c r="AA1092" s="624"/>
      <c r="AB1092" s="663">
        <v>39049007512</v>
      </c>
      <c r="AC1092" s="663" t="s">
        <v>6024</v>
      </c>
      <c r="AD1092" s="663" t="s">
        <v>4927</v>
      </c>
      <c r="AE1092" s="663" t="s">
        <v>4928</v>
      </c>
      <c r="AF1092" s="663" t="s">
        <v>4946</v>
      </c>
    </row>
    <row r="1093" spans="1:32" s="608" customFormat="1" x14ac:dyDescent="0.25">
      <c r="A1093" s="624"/>
      <c r="B1093" s="617">
        <v>39049007010</v>
      </c>
      <c r="C1093" s="617" t="s">
        <v>2761</v>
      </c>
      <c r="D1093" s="617" t="s">
        <v>49</v>
      </c>
      <c r="E1093" s="617" t="s">
        <v>4854</v>
      </c>
      <c r="F1093" s="617" t="s">
        <v>26</v>
      </c>
      <c r="G1093" s="624"/>
      <c r="O1093" s="616"/>
      <c r="P1093" s="616"/>
      <c r="Q1093" s="616"/>
      <c r="AA1093" s="624"/>
      <c r="AB1093" s="663">
        <v>39049007520</v>
      </c>
      <c r="AC1093" s="663" t="s">
        <v>6025</v>
      </c>
      <c r="AD1093" s="663" t="s">
        <v>4927</v>
      </c>
      <c r="AE1093" s="663" t="s">
        <v>4931</v>
      </c>
      <c r="AF1093" s="663" t="s">
        <v>4962</v>
      </c>
    </row>
    <row r="1094" spans="1:32" s="608" customFormat="1" x14ac:dyDescent="0.25">
      <c r="A1094" s="624"/>
      <c r="B1094" s="617">
        <v>39049007020</v>
      </c>
      <c r="C1094" s="617" t="s">
        <v>2762</v>
      </c>
      <c r="D1094" s="617" t="s">
        <v>49</v>
      </c>
      <c r="E1094" s="617" t="s">
        <v>4854</v>
      </c>
      <c r="F1094" s="617" t="s">
        <v>26</v>
      </c>
      <c r="G1094" s="624"/>
      <c r="O1094" s="616"/>
      <c r="P1094" s="616"/>
      <c r="Q1094" s="616"/>
      <c r="AA1094" s="624"/>
      <c r="AB1094" s="663">
        <v>39049007531</v>
      </c>
      <c r="AC1094" s="663" t="s">
        <v>6026</v>
      </c>
      <c r="AD1094" s="663" t="s">
        <v>4927</v>
      </c>
      <c r="AE1094" s="663" t="s">
        <v>4942</v>
      </c>
      <c r="AF1094" s="663" t="s">
        <v>4946</v>
      </c>
    </row>
    <row r="1095" spans="1:32" s="608" customFormat="1" x14ac:dyDescent="0.25">
      <c r="A1095" s="624"/>
      <c r="B1095" s="617">
        <v>39049007041</v>
      </c>
      <c r="C1095" s="617" t="s">
        <v>2763</v>
      </c>
      <c r="D1095" s="617" t="s">
        <v>49</v>
      </c>
      <c r="E1095" s="617" t="s">
        <v>4854</v>
      </c>
      <c r="F1095" s="617" t="s">
        <v>26</v>
      </c>
      <c r="G1095" s="624"/>
      <c r="O1095" s="616"/>
      <c r="P1095" s="616"/>
      <c r="Q1095" s="616"/>
      <c r="AA1095" s="624"/>
      <c r="AB1095" s="663">
        <v>39049007532</v>
      </c>
      <c r="AC1095" s="663" t="s">
        <v>6027</v>
      </c>
      <c r="AD1095" s="663" t="s">
        <v>4927</v>
      </c>
      <c r="AE1095" s="663" t="s">
        <v>4939</v>
      </c>
      <c r="AF1095" s="663" t="s">
        <v>4946</v>
      </c>
    </row>
    <row r="1096" spans="1:32" s="608" customFormat="1" x14ac:dyDescent="0.25">
      <c r="A1096" s="624"/>
      <c r="B1096" s="617">
        <v>39049007043</v>
      </c>
      <c r="C1096" s="617" t="s">
        <v>2764</v>
      </c>
      <c r="D1096" s="617" t="s">
        <v>49</v>
      </c>
      <c r="E1096" s="617" t="s">
        <v>4854</v>
      </c>
      <c r="F1096" s="617" t="s">
        <v>26</v>
      </c>
      <c r="G1096" s="624"/>
      <c r="O1096" s="616"/>
      <c r="P1096" s="616"/>
      <c r="Q1096" s="616"/>
      <c r="AA1096" s="624"/>
      <c r="AB1096" s="663">
        <v>39049007533</v>
      </c>
      <c r="AC1096" s="663" t="s">
        <v>6028</v>
      </c>
      <c r="AD1096" s="663" t="s">
        <v>4927</v>
      </c>
      <c r="AE1096" s="663" t="s">
        <v>4942</v>
      </c>
      <c r="AF1096" s="663" t="s">
        <v>4946</v>
      </c>
    </row>
    <row r="1097" spans="1:32" s="608" customFormat="1" x14ac:dyDescent="0.25">
      <c r="A1097" s="624"/>
      <c r="B1097" s="617">
        <v>39049007044</v>
      </c>
      <c r="C1097" s="617" t="s">
        <v>2765</v>
      </c>
      <c r="D1097" s="617" t="s">
        <v>49</v>
      </c>
      <c r="E1097" s="617" t="s">
        <v>4854</v>
      </c>
      <c r="F1097" s="617" t="s">
        <v>26</v>
      </c>
      <c r="G1097" s="624"/>
      <c r="O1097" s="616"/>
      <c r="P1097" s="616"/>
      <c r="Q1097" s="616"/>
      <c r="AA1097" s="624"/>
      <c r="AB1097" s="663">
        <v>39049007534</v>
      </c>
      <c r="AC1097" s="663" t="s">
        <v>6029</v>
      </c>
      <c r="AD1097" s="663" t="s">
        <v>4927</v>
      </c>
      <c r="AE1097" s="663" t="s">
        <v>4931</v>
      </c>
      <c r="AF1097" s="663" t="s">
        <v>4946</v>
      </c>
    </row>
    <row r="1098" spans="1:32" s="608" customFormat="1" x14ac:dyDescent="0.25">
      <c r="A1098" s="624"/>
      <c r="B1098" s="617">
        <v>39049007047</v>
      </c>
      <c r="C1098" s="617" t="s">
        <v>2766</v>
      </c>
      <c r="D1098" s="617" t="s">
        <v>49</v>
      </c>
      <c r="E1098" s="617" t="s">
        <v>4854</v>
      </c>
      <c r="F1098" s="617" t="s">
        <v>26</v>
      </c>
      <c r="G1098" s="624"/>
      <c r="O1098" s="616"/>
      <c r="P1098" s="616"/>
      <c r="Q1098" s="616"/>
      <c r="AA1098" s="624"/>
      <c r="AB1098" s="663">
        <v>39049007550</v>
      </c>
      <c r="AC1098" s="663" t="s">
        <v>6030</v>
      </c>
      <c r="AD1098" s="663" t="s">
        <v>4950</v>
      </c>
      <c r="AE1098" s="663" t="s">
        <v>4939</v>
      </c>
      <c r="AF1098" s="663" t="s">
        <v>4946</v>
      </c>
    </row>
    <row r="1099" spans="1:32" s="608" customFormat="1" x14ac:dyDescent="0.25">
      <c r="A1099" s="624"/>
      <c r="B1099" s="617">
        <v>39049007048</v>
      </c>
      <c r="C1099" s="617" t="s">
        <v>2767</v>
      </c>
      <c r="D1099" s="617" t="s">
        <v>49</v>
      </c>
      <c r="E1099" s="617" t="s">
        <v>4854</v>
      </c>
      <c r="F1099" s="617" t="s">
        <v>26</v>
      </c>
      <c r="G1099" s="624"/>
      <c r="O1099" s="616"/>
      <c r="P1099" s="616"/>
      <c r="Q1099" s="616"/>
      <c r="AA1099" s="624"/>
      <c r="AB1099" s="663">
        <v>39049007551</v>
      </c>
      <c r="AC1099" s="663" t="s">
        <v>6031</v>
      </c>
      <c r="AD1099" s="663" t="s">
        <v>4927</v>
      </c>
      <c r="AE1099" s="663" t="s">
        <v>4942</v>
      </c>
      <c r="AF1099" s="663" t="s">
        <v>4946</v>
      </c>
    </row>
    <row r="1100" spans="1:32" s="608" customFormat="1" x14ac:dyDescent="0.25">
      <c r="A1100" s="624"/>
      <c r="B1100" s="617">
        <v>39049007101</v>
      </c>
      <c r="C1100" s="617" t="s">
        <v>2768</v>
      </c>
      <c r="D1100" s="617" t="s">
        <v>49</v>
      </c>
      <c r="E1100" s="617" t="s">
        <v>4854</v>
      </c>
      <c r="F1100" s="617" t="s">
        <v>26</v>
      </c>
      <c r="G1100" s="624"/>
      <c r="O1100" s="616"/>
      <c r="P1100" s="616"/>
      <c r="Q1100" s="616"/>
      <c r="AA1100" s="624"/>
      <c r="AB1100" s="663">
        <v>39049007710</v>
      </c>
      <c r="AC1100" s="663" t="s">
        <v>6032</v>
      </c>
      <c r="AD1100" s="663" t="s">
        <v>4927</v>
      </c>
      <c r="AE1100" s="663" t="s">
        <v>4931</v>
      </c>
      <c r="AF1100" s="663" t="s">
        <v>4946</v>
      </c>
    </row>
    <row r="1101" spans="1:32" s="608" customFormat="1" x14ac:dyDescent="0.25">
      <c r="A1101" s="624"/>
      <c r="B1101" s="617">
        <v>39049007102</v>
      </c>
      <c r="C1101" s="617" t="s">
        <v>2769</v>
      </c>
      <c r="D1101" s="617" t="s">
        <v>49</v>
      </c>
      <c r="E1101" s="617" t="s">
        <v>4854</v>
      </c>
      <c r="F1101" s="617" t="s">
        <v>26</v>
      </c>
      <c r="G1101" s="624"/>
      <c r="O1101" s="616"/>
      <c r="P1101" s="616"/>
      <c r="Q1101" s="616"/>
      <c r="AA1101" s="624"/>
      <c r="AB1101" s="663">
        <v>39049007721</v>
      </c>
      <c r="AC1101" s="663" t="s">
        <v>6033</v>
      </c>
      <c r="AD1101" s="663" t="s">
        <v>4927</v>
      </c>
      <c r="AE1101" s="663" t="s">
        <v>4939</v>
      </c>
      <c r="AF1101" s="663" t="s">
        <v>4946</v>
      </c>
    </row>
    <row r="1102" spans="1:32" s="608" customFormat="1" x14ac:dyDescent="0.25">
      <c r="A1102" s="624"/>
      <c r="B1102" s="617">
        <v>39049007103</v>
      </c>
      <c r="C1102" s="617" t="s">
        <v>2770</v>
      </c>
      <c r="D1102" s="617" t="s">
        <v>49</v>
      </c>
      <c r="E1102" s="617" t="s">
        <v>4854</v>
      </c>
      <c r="F1102" s="617" t="s">
        <v>26</v>
      </c>
      <c r="G1102" s="624"/>
      <c r="O1102" s="616"/>
      <c r="P1102" s="616"/>
      <c r="Q1102" s="616"/>
      <c r="AA1102" s="624"/>
      <c r="AB1102" s="663">
        <v>39049007722</v>
      </c>
      <c r="AC1102" s="663" t="s">
        <v>6034</v>
      </c>
      <c r="AD1102" s="663" t="s">
        <v>4927</v>
      </c>
      <c r="AE1102" s="663" t="s">
        <v>4942</v>
      </c>
      <c r="AF1102" s="663" t="s">
        <v>4946</v>
      </c>
    </row>
    <row r="1103" spans="1:32" s="608" customFormat="1" x14ac:dyDescent="0.25">
      <c r="A1103" s="624"/>
      <c r="B1103" s="617">
        <v>39049007112</v>
      </c>
      <c r="C1103" s="617" t="s">
        <v>2771</v>
      </c>
      <c r="D1103" s="617" t="s">
        <v>49</v>
      </c>
      <c r="E1103" s="617" t="s">
        <v>4854</v>
      </c>
      <c r="F1103" s="617" t="s">
        <v>26</v>
      </c>
      <c r="G1103" s="624"/>
      <c r="O1103" s="616"/>
      <c r="P1103" s="616"/>
      <c r="Q1103" s="616"/>
      <c r="AA1103" s="624"/>
      <c r="AB1103" s="663">
        <v>39049007730</v>
      </c>
      <c r="AC1103" s="663" t="s">
        <v>6035</v>
      </c>
      <c r="AD1103" s="663" t="s">
        <v>4950</v>
      </c>
      <c r="AE1103" s="663" t="s">
        <v>4939</v>
      </c>
      <c r="AF1103" s="663" t="s">
        <v>4946</v>
      </c>
    </row>
    <row r="1104" spans="1:32" s="608" customFormat="1" x14ac:dyDescent="0.25">
      <c r="A1104" s="624"/>
      <c r="B1104" s="617">
        <v>39049007113</v>
      </c>
      <c r="C1104" s="617" t="s">
        <v>2772</v>
      </c>
      <c r="D1104" s="617" t="s">
        <v>49</v>
      </c>
      <c r="E1104" s="617" t="s">
        <v>4854</v>
      </c>
      <c r="F1104" s="617" t="s">
        <v>26</v>
      </c>
      <c r="G1104" s="624"/>
      <c r="O1104" s="616"/>
      <c r="P1104" s="616"/>
      <c r="Q1104" s="616"/>
      <c r="AA1104" s="624"/>
      <c r="AB1104" s="663">
        <v>39049007740</v>
      </c>
      <c r="AC1104" s="663" t="s">
        <v>6036</v>
      </c>
      <c r="AD1104" s="663" t="s">
        <v>4950</v>
      </c>
      <c r="AE1104" s="663" t="s">
        <v>4931</v>
      </c>
      <c r="AF1104" s="663" t="s">
        <v>4946</v>
      </c>
    </row>
    <row r="1105" spans="1:32" s="608" customFormat="1" x14ac:dyDescent="0.25">
      <c r="A1105" s="624"/>
      <c r="B1105" s="617">
        <v>39049007114</v>
      </c>
      <c r="C1105" s="617" t="s">
        <v>2773</v>
      </c>
      <c r="D1105" s="617" t="s">
        <v>49</v>
      </c>
      <c r="E1105" s="617" t="s">
        <v>4854</v>
      </c>
      <c r="F1105" s="617" t="s">
        <v>26</v>
      </c>
      <c r="G1105" s="624"/>
      <c r="O1105" s="616"/>
      <c r="P1105" s="616"/>
      <c r="Q1105" s="616"/>
      <c r="AA1105" s="624"/>
      <c r="AB1105" s="663">
        <v>39049007811</v>
      </c>
      <c r="AC1105" s="663" t="s">
        <v>6037</v>
      </c>
      <c r="AD1105" s="663" t="s">
        <v>4938</v>
      </c>
      <c r="AE1105" s="663" t="s">
        <v>4939</v>
      </c>
      <c r="AF1105" s="663" t="s">
        <v>4946</v>
      </c>
    </row>
    <row r="1106" spans="1:32" s="608" customFormat="1" x14ac:dyDescent="0.25">
      <c r="A1106" s="624"/>
      <c r="B1106" s="617">
        <v>39049007115</v>
      </c>
      <c r="C1106" s="617" t="s">
        <v>2774</v>
      </c>
      <c r="D1106" s="617" t="s">
        <v>49</v>
      </c>
      <c r="E1106" s="617" t="s">
        <v>4854</v>
      </c>
      <c r="F1106" s="617" t="s">
        <v>24</v>
      </c>
      <c r="G1106" s="624"/>
      <c r="O1106" s="616"/>
      <c r="P1106" s="616"/>
      <c r="Q1106" s="616"/>
      <c r="AA1106" s="624"/>
      <c r="AB1106" s="663">
        <v>39049007812</v>
      </c>
      <c r="AC1106" s="663" t="s">
        <v>6038</v>
      </c>
      <c r="AD1106" s="663" t="s">
        <v>4938</v>
      </c>
      <c r="AE1106" s="663" t="s">
        <v>4934</v>
      </c>
      <c r="AF1106" s="663" t="s">
        <v>4946</v>
      </c>
    </row>
    <row r="1107" spans="1:32" s="608" customFormat="1" x14ac:dyDescent="0.25">
      <c r="A1107" s="624"/>
      <c r="B1107" s="617">
        <v>39049007120</v>
      </c>
      <c r="C1107" s="617" t="s">
        <v>2775</v>
      </c>
      <c r="D1107" s="617" t="s">
        <v>49</v>
      </c>
      <c r="E1107" s="617" t="s">
        <v>4854</v>
      </c>
      <c r="F1107" s="617" t="s">
        <v>26</v>
      </c>
      <c r="G1107" s="624"/>
      <c r="O1107" s="616"/>
      <c r="P1107" s="616"/>
      <c r="Q1107" s="616"/>
      <c r="AA1107" s="624"/>
      <c r="AB1107" s="663">
        <v>39049007820</v>
      </c>
      <c r="AC1107" s="663" t="s">
        <v>6039</v>
      </c>
      <c r="AD1107" s="663" t="s">
        <v>4950</v>
      </c>
      <c r="AE1107" s="663" t="s">
        <v>4928</v>
      </c>
      <c r="AF1107" s="663" t="s">
        <v>4946</v>
      </c>
    </row>
    <row r="1108" spans="1:32" s="608" customFormat="1" x14ac:dyDescent="0.25">
      <c r="A1108" s="624"/>
      <c r="B1108" s="617">
        <v>39049007193</v>
      </c>
      <c r="C1108" s="617" t="s">
        <v>2776</v>
      </c>
      <c r="D1108" s="617" t="s">
        <v>49</v>
      </c>
      <c r="E1108" s="617" t="s">
        <v>4854</v>
      </c>
      <c r="F1108" s="617" t="s">
        <v>26</v>
      </c>
      <c r="G1108" s="624"/>
      <c r="O1108" s="616"/>
      <c r="P1108" s="616"/>
      <c r="Q1108" s="616"/>
      <c r="AA1108" s="624"/>
      <c r="AB1108" s="663">
        <v>39049007830</v>
      </c>
      <c r="AC1108" s="663" t="s">
        <v>6040</v>
      </c>
      <c r="AD1108" s="663" t="s">
        <v>4938</v>
      </c>
      <c r="AE1108" s="663" t="s">
        <v>4939</v>
      </c>
      <c r="AF1108" s="663" t="s">
        <v>4962</v>
      </c>
    </row>
    <row r="1109" spans="1:32" s="608" customFormat="1" x14ac:dyDescent="0.25">
      <c r="A1109" s="624"/>
      <c r="B1109" s="617">
        <v>39049007198</v>
      </c>
      <c r="C1109" s="617" t="s">
        <v>2777</v>
      </c>
      <c r="D1109" s="617" t="s">
        <v>49</v>
      </c>
      <c r="E1109" s="617" t="s">
        <v>4854</v>
      </c>
      <c r="F1109" s="617" t="s">
        <v>26</v>
      </c>
      <c r="G1109" s="624"/>
      <c r="O1109" s="616"/>
      <c r="P1109" s="616"/>
      <c r="Q1109" s="616"/>
      <c r="AA1109" s="624"/>
      <c r="AB1109" s="663">
        <v>39049007921</v>
      </c>
      <c r="AC1109" s="663" t="s">
        <v>6041</v>
      </c>
      <c r="AD1109" s="663" t="s">
        <v>4941</v>
      </c>
      <c r="AE1109" s="663" t="s">
        <v>4931</v>
      </c>
      <c r="AF1109" s="663" t="s">
        <v>4946</v>
      </c>
    </row>
    <row r="1110" spans="1:32" s="608" customFormat="1" x14ac:dyDescent="0.25">
      <c r="A1110" s="624"/>
      <c r="B1110" s="617">
        <v>39049007199</v>
      </c>
      <c r="C1110" s="617" t="s">
        <v>2778</v>
      </c>
      <c r="D1110" s="617" t="s">
        <v>49</v>
      </c>
      <c r="E1110" s="617" t="s">
        <v>4854</v>
      </c>
      <c r="F1110" s="617" t="s">
        <v>26</v>
      </c>
      <c r="G1110" s="624"/>
      <c r="O1110" s="616"/>
      <c r="P1110" s="616"/>
      <c r="Q1110" s="616"/>
      <c r="AA1110" s="624"/>
      <c r="AB1110" s="663">
        <v>39049007922</v>
      </c>
      <c r="AC1110" s="663" t="s">
        <v>6042</v>
      </c>
      <c r="AD1110" s="663" t="s">
        <v>4938</v>
      </c>
      <c r="AE1110" s="663" t="s">
        <v>4942</v>
      </c>
      <c r="AF1110" s="663" t="s">
        <v>4946</v>
      </c>
    </row>
    <row r="1111" spans="1:32" s="608" customFormat="1" x14ac:dyDescent="0.25">
      <c r="A1111" s="624"/>
      <c r="B1111" s="617">
        <v>39049007202</v>
      </c>
      <c r="C1111" s="617" t="s">
        <v>2779</v>
      </c>
      <c r="D1111" s="617" t="s">
        <v>49</v>
      </c>
      <c r="E1111" s="617" t="s">
        <v>4854</v>
      </c>
      <c r="F1111" s="617" t="s">
        <v>26</v>
      </c>
      <c r="G1111" s="624"/>
      <c r="O1111" s="616"/>
      <c r="P1111" s="616"/>
      <c r="Q1111" s="616"/>
      <c r="AA1111" s="624"/>
      <c r="AB1111" s="663">
        <v>39049007931</v>
      </c>
      <c r="AC1111" s="663" t="s">
        <v>6043</v>
      </c>
      <c r="AD1111" s="663" t="s">
        <v>4948</v>
      </c>
      <c r="AE1111" s="663" t="s">
        <v>4934</v>
      </c>
      <c r="AF1111" s="663" t="s">
        <v>4946</v>
      </c>
    </row>
    <row r="1112" spans="1:32" s="608" customFormat="1" x14ac:dyDescent="0.25">
      <c r="A1112" s="624"/>
      <c r="B1112" s="617">
        <v>39049007205</v>
      </c>
      <c r="C1112" s="617" t="s">
        <v>2780</v>
      </c>
      <c r="D1112" s="617" t="s">
        <v>49</v>
      </c>
      <c r="E1112" s="617" t="s">
        <v>4854</v>
      </c>
      <c r="F1112" s="617" t="s">
        <v>26</v>
      </c>
      <c r="G1112" s="624"/>
      <c r="O1112" s="616"/>
      <c r="P1112" s="616"/>
      <c r="Q1112" s="616"/>
      <c r="AA1112" s="624"/>
      <c r="AB1112" s="663">
        <v>39049007933</v>
      </c>
      <c r="AC1112" s="663" t="s">
        <v>6044</v>
      </c>
      <c r="AD1112" s="663" t="s">
        <v>4941</v>
      </c>
      <c r="AE1112" s="663" t="s">
        <v>4939</v>
      </c>
      <c r="AF1112" s="663" t="s">
        <v>4946</v>
      </c>
    </row>
    <row r="1113" spans="1:32" s="608" customFormat="1" x14ac:dyDescent="0.25">
      <c r="A1113" s="624"/>
      <c r="B1113" s="617">
        <v>39049007209</v>
      </c>
      <c r="C1113" s="617" t="s">
        <v>2781</v>
      </c>
      <c r="D1113" s="617" t="s">
        <v>49</v>
      </c>
      <c r="E1113" s="617" t="s">
        <v>4854</v>
      </c>
      <c r="F1113" s="617" t="s">
        <v>26</v>
      </c>
      <c r="G1113" s="624"/>
      <c r="O1113" s="616"/>
      <c r="P1113" s="616"/>
      <c r="Q1113" s="616"/>
      <c r="AA1113" s="624"/>
      <c r="AB1113" s="663">
        <v>39049007941</v>
      </c>
      <c r="AC1113" s="663" t="s">
        <v>6045</v>
      </c>
      <c r="AD1113" s="663" t="s">
        <v>4941</v>
      </c>
      <c r="AE1113" s="663" t="s">
        <v>4939</v>
      </c>
      <c r="AF1113" s="663" t="s">
        <v>4946</v>
      </c>
    </row>
    <row r="1114" spans="1:32" s="608" customFormat="1" x14ac:dyDescent="0.25">
      <c r="A1114" s="624"/>
      <c r="B1114" s="617">
        <v>39049007211</v>
      </c>
      <c r="C1114" s="617" t="s">
        <v>2782</v>
      </c>
      <c r="D1114" s="617" t="s">
        <v>49</v>
      </c>
      <c r="E1114" s="617" t="s">
        <v>4854</v>
      </c>
      <c r="F1114" s="617" t="s">
        <v>26</v>
      </c>
      <c r="G1114" s="624"/>
      <c r="O1114" s="616"/>
      <c r="P1114" s="616"/>
      <c r="Q1114" s="616"/>
      <c r="AA1114" s="624"/>
      <c r="AB1114" s="663">
        <v>39049007951</v>
      </c>
      <c r="AC1114" s="663" t="s">
        <v>6046</v>
      </c>
      <c r="AD1114" s="663" t="s">
        <v>4938</v>
      </c>
      <c r="AE1114" s="663" t="s">
        <v>4934</v>
      </c>
      <c r="AF1114" s="663" t="s">
        <v>4946</v>
      </c>
    </row>
    <row r="1115" spans="1:32" s="608" customFormat="1" x14ac:dyDescent="0.25">
      <c r="A1115" s="624"/>
      <c r="B1115" s="617">
        <v>39049007212</v>
      </c>
      <c r="C1115" s="617" t="s">
        <v>2783</v>
      </c>
      <c r="D1115" s="617" t="s">
        <v>49</v>
      </c>
      <c r="E1115" s="617" t="s">
        <v>4854</v>
      </c>
      <c r="F1115" s="617" t="s">
        <v>26</v>
      </c>
      <c r="G1115" s="624"/>
      <c r="O1115" s="616"/>
      <c r="P1115" s="616"/>
      <c r="Q1115" s="616"/>
      <c r="AA1115" s="624"/>
      <c r="AB1115" s="663">
        <v>39049007952</v>
      </c>
      <c r="AC1115" s="663" t="s">
        <v>6047</v>
      </c>
      <c r="AD1115" s="663" t="s">
        <v>4938</v>
      </c>
      <c r="AE1115" s="663" t="s">
        <v>4928</v>
      </c>
      <c r="AF1115" s="663" t="s">
        <v>4946</v>
      </c>
    </row>
    <row r="1116" spans="1:32" s="608" customFormat="1" x14ac:dyDescent="0.25">
      <c r="A1116" s="624"/>
      <c r="B1116" s="617">
        <v>39049007213</v>
      </c>
      <c r="C1116" s="617" t="s">
        <v>2784</v>
      </c>
      <c r="D1116" s="617" t="s">
        <v>49</v>
      </c>
      <c r="E1116" s="617" t="s">
        <v>4854</v>
      </c>
      <c r="F1116" s="617" t="s">
        <v>26</v>
      </c>
      <c r="G1116" s="624"/>
      <c r="O1116" s="616"/>
      <c r="P1116" s="616"/>
      <c r="Q1116" s="616"/>
      <c r="AA1116" s="624"/>
      <c r="AB1116" s="663">
        <v>39049007953</v>
      </c>
      <c r="AC1116" s="663" t="s">
        <v>6048</v>
      </c>
      <c r="AD1116" s="663" t="s">
        <v>4948</v>
      </c>
      <c r="AE1116" s="663" t="s">
        <v>4934</v>
      </c>
      <c r="AF1116" s="663" t="s">
        <v>4946</v>
      </c>
    </row>
    <row r="1117" spans="1:32" s="608" customFormat="1" x14ac:dyDescent="0.25">
      <c r="A1117" s="624"/>
      <c r="B1117" s="617">
        <v>39049007214</v>
      </c>
      <c r="C1117" s="617" t="s">
        <v>2785</v>
      </c>
      <c r="D1117" s="617" t="s">
        <v>49</v>
      </c>
      <c r="E1117" s="617" t="s">
        <v>4854</v>
      </c>
      <c r="F1117" s="617" t="s">
        <v>26</v>
      </c>
      <c r="G1117" s="624"/>
      <c r="O1117" s="616"/>
      <c r="P1117" s="616"/>
      <c r="Q1117" s="616"/>
      <c r="AA1117" s="624"/>
      <c r="AB1117" s="663">
        <v>39049007954</v>
      </c>
      <c r="AC1117" s="663" t="s">
        <v>6049</v>
      </c>
      <c r="AD1117" s="663" t="s">
        <v>4941</v>
      </c>
      <c r="AE1117" s="663" t="s">
        <v>4939</v>
      </c>
      <c r="AF1117" s="663" t="s">
        <v>4946</v>
      </c>
    </row>
    <row r="1118" spans="1:32" s="608" customFormat="1" x14ac:dyDescent="0.25">
      <c r="A1118" s="624"/>
      <c r="B1118" s="617">
        <v>39049007215</v>
      </c>
      <c r="C1118" s="617" t="s">
        <v>2786</v>
      </c>
      <c r="D1118" s="617" t="s">
        <v>49</v>
      </c>
      <c r="E1118" s="617" t="s">
        <v>4854</v>
      </c>
      <c r="F1118" s="617" t="s">
        <v>26</v>
      </c>
      <c r="G1118" s="624"/>
      <c r="O1118" s="616"/>
      <c r="P1118" s="616"/>
      <c r="Q1118" s="616"/>
      <c r="AA1118" s="624"/>
      <c r="AB1118" s="663">
        <v>39049008000</v>
      </c>
      <c r="AC1118" s="663" t="s">
        <v>6050</v>
      </c>
      <c r="AD1118" s="663" t="s">
        <v>4938</v>
      </c>
      <c r="AE1118" s="663" t="s">
        <v>4942</v>
      </c>
      <c r="AF1118" s="663" t="s">
        <v>4929</v>
      </c>
    </row>
    <row r="1119" spans="1:32" s="608" customFormat="1" x14ac:dyDescent="0.25">
      <c r="A1119" s="624"/>
      <c r="B1119" s="617">
        <v>39049007301</v>
      </c>
      <c r="C1119" s="617" t="s">
        <v>2787</v>
      </c>
      <c r="D1119" s="617" t="s">
        <v>49</v>
      </c>
      <c r="E1119" s="617" t="s">
        <v>4854</v>
      </c>
      <c r="F1119" s="617" t="s">
        <v>26</v>
      </c>
      <c r="G1119" s="624"/>
      <c r="O1119" s="616"/>
      <c r="P1119" s="616"/>
      <c r="Q1119" s="616"/>
      <c r="AA1119" s="624"/>
      <c r="AB1119" s="663">
        <v>39049008110</v>
      </c>
      <c r="AC1119" s="663" t="s">
        <v>6051</v>
      </c>
      <c r="AD1119" s="663" t="s">
        <v>4950</v>
      </c>
      <c r="AE1119" s="663" t="s">
        <v>4942</v>
      </c>
      <c r="AF1119" s="663" t="s">
        <v>4946</v>
      </c>
    </row>
    <row r="1120" spans="1:32" s="608" customFormat="1" x14ac:dyDescent="0.25">
      <c r="A1120" s="624"/>
      <c r="B1120" s="617">
        <v>39049007302</v>
      </c>
      <c r="C1120" s="617" t="s">
        <v>2788</v>
      </c>
      <c r="D1120" s="617" t="s">
        <v>49</v>
      </c>
      <c r="E1120" s="617" t="s">
        <v>4854</v>
      </c>
      <c r="F1120" s="617" t="s">
        <v>26</v>
      </c>
      <c r="G1120" s="624"/>
      <c r="O1120" s="616"/>
      <c r="P1120" s="616"/>
      <c r="Q1120" s="616"/>
      <c r="AA1120" s="624"/>
      <c r="AB1120" s="663">
        <v>39049008120</v>
      </c>
      <c r="AC1120" s="663" t="s">
        <v>6052</v>
      </c>
      <c r="AD1120" s="663" t="s">
        <v>4950</v>
      </c>
      <c r="AE1120" s="663" t="s">
        <v>4942</v>
      </c>
      <c r="AF1120" s="663" t="s">
        <v>4946</v>
      </c>
    </row>
    <row r="1121" spans="1:32" s="608" customFormat="1" x14ac:dyDescent="0.25">
      <c r="A1121" s="624"/>
      <c r="B1121" s="617">
        <v>39049007303</v>
      </c>
      <c r="C1121" s="617" t="s">
        <v>2789</v>
      </c>
      <c r="D1121" s="617" t="s">
        <v>49</v>
      </c>
      <c r="E1121" s="617" t="s">
        <v>4854</v>
      </c>
      <c r="F1121" s="617" t="s">
        <v>26</v>
      </c>
      <c r="G1121" s="624"/>
      <c r="O1121" s="616"/>
      <c r="P1121" s="616"/>
      <c r="Q1121" s="616"/>
      <c r="AA1121" s="624"/>
      <c r="AB1121" s="663">
        <v>39049008132</v>
      </c>
      <c r="AC1121" s="663" t="s">
        <v>6053</v>
      </c>
      <c r="AD1121" s="663" t="s">
        <v>4950</v>
      </c>
      <c r="AE1121" s="663" t="s">
        <v>4934</v>
      </c>
      <c r="AF1121" s="663" t="s">
        <v>4946</v>
      </c>
    </row>
    <row r="1122" spans="1:32" s="608" customFormat="1" x14ac:dyDescent="0.25">
      <c r="A1122" s="624"/>
      <c r="B1122" s="617">
        <v>39049007305</v>
      </c>
      <c r="C1122" s="617" t="s">
        <v>2790</v>
      </c>
      <c r="D1122" s="617" t="s">
        <v>49</v>
      </c>
      <c r="E1122" s="617" t="s">
        <v>4854</v>
      </c>
      <c r="F1122" s="617" t="s">
        <v>26</v>
      </c>
      <c r="G1122" s="624"/>
      <c r="O1122" s="616"/>
      <c r="P1122" s="616"/>
      <c r="Q1122" s="616"/>
      <c r="AA1122" s="624"/>
      <c r="AB1122" s="663">
        <v>39049008141</v>
      </c>
      <c r="AC1122" s="663" t="s">
        <v>6054</v>
      </c>
      <c r="AD1122" s="663" t="s">
        <v>4950</v>
      </c>
      <c r="AE1122" s="663" t="s">
        <v>4942</v>
      </c>
      <c r="AF1122" s="663" t="s">
        <v>4946</v>
      </c>
    </row>
    <row r="1123" spans="1:32" s="608" customFormat="1" x14ac:dyDescent="0.25">
      <c r="A1123" s="624"/>
      <c r="B1123" s="617">
        <v>39049007306</v>
      </c>
      <c r="C1123" s="617" t="s">
        <v>2791</v>
      </c>
      <c r="D1123" s="617" t="s">
        <v>49</v>
      </c>
      <c r="E1123" s="617" t="s">
        <v>4854</v>
      </c>
      <c r="F1123" s="617" t="s">
        <v>26</v>
      </c>
      <c r="G1123" s="624"/>
      <c r="O1123" s="616"/>
      <c r="P1123" s="616"/>
      <c r="Q1123" s="616"/>
      <c r="AA1123" s="624"/>
      <c r="AB1123" s="663">
        <v>39049008142</v>
      </c>
      <c r="AC1123" s="663" t="s">
        <v>6055</v>
      </c>
      <c r="AD1123" s="663" t="s">
        <v>4948</v>
      </c>
      <c r="AE1123" s="663" t="s">
        <v>4934</v>
      </c>
      <c r="AF1123" s="663" t="s">
        <v>4946</v>
      </c>
    </row>
    <row r="1124" spans="1:32" s="608" customFormat="1" x14ac:dyDescent="0.25">
      <c r="A1124" s="624"/>
      <c r="B1124" s="617">
        <v>39049007394</v>
      </c>
      <c r="C1124" s="617" t="s">
        <v>2792</v>
      </c>
      <c r="D1124" s="617" t="s">
        <v>49</v>
      </c>
      <c r="E1124" s="617" t="s">
        <v>4854</v>
      </c>
      <c r="F1124" s="617" t="s">
        <v>26</v>
      </c>
      <c r="G1124" s="624"/>
      <c r="O1124" s="616"/>
      <c r="P1124" s="616"/>
      <c r="Q1124" s="616"/>
      <c r="AA1124" s="624"/>
      <c r="AB1124" s="663">
        <v>39049008161</v>
      </c>
      <c r="AC1124" s="663" t="s">
        <v>6056</v>
      </c>
      <c r="AD1124" s="663" t="s">
        <v>4950</v>
      </c>
      <c r="AE1124" s="663" t="s">
        <v>4942</v>
      </c>
      <c r="AF1124" s="663" t="s">
        <v>4946</v>
      </c>
    </row>
    <row r="1125" spans="1:32" s="608" customFormat="1" x14ac:dyDescent="0.25">
      <c r="A1125" s="624"/>
      <c r="B1125" s="617">
        <v>39049007397</v>
      </c>
      <c r="C1125" s="617" t="s">
        <v>2793</v>
      </c>
      <c r="D1125" s="617" t="s">
        <v>49</v>
      </c>
      <c r="E1125" s="617" t="s">
        <v>4854</v>
      </c>
      <c r="F1125" s="617" t="s">
        <v>26</v>
      </c>
      <c r="G1125" s="624"/>
      <c r="O1125" s="616"/>
      <c r="P1125" s="616"/>
      <c r="Q1125" s="616"/>
      <c r="AA1125" s="624"/>
      <c r="AB1125" s="663">
        <v>39049008162</v>
      </c>
      <c r="AC1125" s="663" t="s">
        <v>6057</v>
      </c>
      <c r="AD1125" s="663" t="s">
        <v>4948</v>
      </c>
      <c r="AE1125" s="663" t="s">
        <v>4939</v>
      </c>
      <c r="AF1125" s="663" t="s">
        <v>4929</v>
      </c>
    </row>
    <row r="1126" spans="1:32" s="608" customFormat="1" x14ac:dyDescent="0.25">
      <c r="A1126" s="624"/>
      <c r="B1126" s="617">
        <v>39049007398</v>
      </c>
      <c r="C1126" s="617" t="s">
        <v>2794</v>
      </c>
      <c r="D1126" s="617" t="s">
        <v>49</v>
      </c>
      <c r="E1126" s="617" t="s">
        <v>4854</v>
      </c>
      <c r="F1126" s="617" t="s">
        <v>26</v>
      </c>
      <c r="G1126" s="624"/>
      <c r="O1126" s="616"/>
      <c r="P1126" s="616"/>
      <c r="Q1126" s="616"/>
      <c r="AA1126" s="624"/>
      <c r="AB1126" s="663">
        <v>39049008163</v>
      </c>
      <c r="AC1126" s="663" t="s">
        <v>6058</v>
      </c>
      <c r="AD1126" s="663" t="s">
        <v>4950</v>
      </c>
      <c r="AE1126" s="663" t="s">
        <v>4931</v>
      </c>
      <c r="AF1126" s="663" t="s">
        <v>4946</v>
      </c>
    </row>
    <row r="1127" spans="1:32" s="608" customFormat="1" x14ac:dyDescent="0.25">
      <c r="A1127" s="624"/>
      <c r="B1127" s="617">
        <v>39049007424</v>
      </c>
      <c r="C1127" s="617" t="s">
        <v>2795</v>
      </c>
      <c r="D1127" s="617" t="s">
        <v>49</v>
      </c>
      <c r="E1127" s="617" t="s">
        <v>4854</v>
      </c>
      <c r="F1127" s="617" t="s">
        <v>26</v>
      </c>
      <c r="G1127" s="624"/>
      <c r="O1127" s="616"/>
      <c r="P1127" s="616"/>
      <c r="Q1127" s="616"/>
      <c r="AA1127" s="624"/>
      <c r="AB1127" s="663">
        <v>39049008164</v>
      </c>
      <c r="AC1127" s="663" t="s">
        <v>6059</v>
      </c>
      <c r="AD1127" s="663" t="s">
        <v>4950</v>
      </c>
      <c r="AE1127" s="663" t="s">
        <v>4931</v>
      </c>
      <c r="AF1127" s="663" t="s">
        <v>4946</v>
      </c>
    </row>
    <row r="1128" spans="1:32" s="608" customFormat="1" x14ac:dyDescent="0.25">
      <c r="A1128" s="624"/>
      <c r="B1128" s="617">
        <v>39049007425</v>
      </c>
      <c r="C1128" s="617" t="s">
        <v>2796</v>
      </c>
      <c r="D1128" s="617" t="s">
        <v>49</v>
      </c>
      <c r="E1128" s="617" t="s">
        <v>4854</v>
      </c>
      <c r="F1128" s="617" t="s">
        <v>26</v>
      </c>
      <c r="G1128" s="624"/>
      <c r="O1128" s="616"/>
      <c r="P1128" s="616"/>
      <c r="Q1128" s="616"/>
      <c r="AA1128" s="624"/>
      <c r="AB1128" s="663">
        <v>39049008210</v>
      </c>
      <c r="AC1128" s="663" t="s">
        <v>6060</v>
      </c>
      <c r="AD1128" s="663" t="s">
        <v>4927</v>
      </c>
      <c r="AE1128" s="663" t="s">
        <v>4928</v>
      </c>
      <c r="AF1128" s="663" t="s">
        <v>4946</v>
      </c>
    </row>
    <row r="1129" spans="1:32" s="608" customFormat="1" x14ac:dyDescent="0.25">
      <c r="A1129" s="624"/>
      <c r="B1129" s="617">
        <v>39049007426</v>
      </c>
      <c r="C1129" s="617" t="s">
        <v>2797</v>
      </c>
      <c r="D1129" s="617" t="s">
        <v>49</v>
      </c>
      <c r="E1129" s="617" t="s">
        <v>4854</v>
      </c>
      <c r="F1129" s="617" t="s">
        <v>26</v>
      </c>
      <c r="G1129" s="624"/>
      <c r="O1129" s="616"/>
      <c r="P1129" s="616"/>
      <c r="Q1129" s="616"/>
      <c r="AA1129" s="624"/>
      <c r="AB1129" s="663">
        <v>39049008230</v>
      </c>
      <c r="AC1129" s="663" t="s">
        <v>6061</v>
      </c>
      <c r="AD1129" s="663" t="s">
        <v>4927</v>
      </c>
      <c r="AE1129" s="663" t="s">
        <v>4939</v>
      </c>
      <c r="AF1129" s="663" t="s">
        <v>4946</v>
      </c>
    </row>
    <row r="1130" spans="1:32" s="608" customFormat="1" x14ac:dyDescent="0.25">
      <c r="A1130" s="624"/>
      <c r="B1130" s="617">
        <v>39049007427</v>
      </c>
      <c r="C1130" s="617" t="s">
        <v>2798</v>
      </c>
      <c r="D1130" s="617" t="s">
        <v>49</v>
      </c>
      <c r="E1130" s="617" t="s">
        <v>4854</v>
      </c>
      <c r="F1130" s="617" t="s">
        <v>26</v>
      </c>
      <c r="G1130" s="624"/>
      <c r="O1130" s="616"/>
      <c r="P1130" s="616"/>
      <c r="Q1130" s="616"/>
      <c r="AA1130" s="624"/>
      <c r="AB1130" s="663">
        <v>39049008241</v>
      </c>
      <c r="AC1130" s="663" t="s">
        <v>6062</v>
      </c>
      <c r="AD1130" s="663" t="s">
        <v>4950</v>
      </c>
      <c r="AE1130" s="663" t="s">
        <v>4942</v>
      </c>
      <c r="AF1130" s="663" t="s">
        <v>4946</v>
      </c>
    </row>
    <row r="1131" spans="1:32" s="608" customFormat="1" x14ac:dyDescent="0.25">
      <c r="A1131" s="624"/>
      <c r="B1131" s="617">
        <v>39049007492</v>
      </c>
      <c r="C1131" s="617" t="s">
        <v>2799</v>
      </c>
      <c r="D1131" s="617" t="s">
        <v>49</v>
      </c>
      <c r="E1131" s="617" t="s">
        <v>4854</v>
      </c>
      <c r="F1131" s="617" t="s">
        <v>26</v>
      </c>
      <c r="G1131" s="624"/>
      <c r="O1131" s="616"/>
      <c r="P1131" s="616"/>
      <c r="Q1131" s="616"/>
      <c r="AA1131" s="624"/>
      <c r="AB1131" s="663">
        <v>39049008242</v>
      </c>
      <c r="AC1131" s="663" t="s">
        <v>6063</v>
      </c>
      <c r="AD1131" s="663" t="s">
        <v>4948</v>
      </c>
      <c r="AE1131" s="663" t="s">
        <v>4934</v>
      </c>
      <c r="AF1131" s="663" t="s">
        <v>4946</v>
      </c>
    </row>
    <row r="1132" spans="1:32" s="608" customFormat="1" x14ac:dyDescent="0.25">
      <c r="A1132" s="624"/>
      <c r="B1132" s="617">
        <v>39049007494</v>
      </c>
      <c r="C1132" s="617" t="s">
        <v>2800</v>
      </c>
      <c r="D1132" s="617" t="s">
        <v>49</v>
      </c>
      <c r="E1132" s="617" t="s">
        <v>4854</v>
      </c>
      <c r="F1132" s="617" t="s">
        <v>26</v>
      </c>
      <c r="G1132" s="624"/>
      <c r="O1132" s="616"/>
      <c r="P1132" s="616"/>
      <c r="Q1132" s="616"/>
      <c r="AA1132" s="624"/>
      <c r="AB1132" s="663">
        <v>39049008311</v>
      </c>
      <c r="AC1132" s="663" t="s">
        <v>6064</v>
      </c>
      <c r="AD1132" s="663" t="s">
        <v>4927</v>
      </c>
      <c r="AE1132" s="663" t="s">
        <v>4942</v>
      </c>
      <c r="AF1132" s="663" t="s">
        <v>4946</v>
      </c>
    </row>
    <row r="1133" spans="1:32" s="608" customFormat="1" x14ac:dyDescent="0.25">
      <c r="A1133" s="624"/>
      <c r="B1133" s="617">
        <v>39049007511</v>
      </c>
      <c r="C1133" s="617" t="s">
        <v>2801</v>
      </c>
      <c r="D1133" s="617" t="s">
        <v>49</v>
      </c>
      <c r="E1133" s="617" t="s">
        <v>4854</v>
      </c>
      <c r="F1133" s="617" t="s">
        <v>24</v>
      </c>
      <c r="G1133" s="624"/>
      <c r="O1133" s="616"/>
      <c r="P1133" s="616"/>
      <c r="Q1133" s="616"/>
      <c r="AA1133" s="624"/>
      <c r="AB1133" s="663">
        <v>39049008312</v>
      </c>
      <c r="AC1133" s="663" t="s">
        <v>6065</v>
      </c>
      <c r="AD1133" s="663" t="s">
        <v>4927</v>
      </c>
      <c r="AE1133" s="663" t="s">
        <v>4939</v>
      </c>
      <c r="AF1133" s="663" t="s">
        <v>4946</v>
      </c>
    </row>
    <row r="1134" spans="1:32" s="608" customFormat="1" x14ac:dyDescent="0.25">
      <c r="A1134" s="624"/>
      <c r="B1134" s="617">
        <v>39049007512</v>
      </c>
      <c r="C1134" s="617" t="s">
        <v>2802</v>
      </c>
      <c r="D1134" s="617" t="s">
        <v>49</v>
      </c>
      <c r="E1134" s="617" t="s">
        <v>4854</v>
      </c>
      <c r="F1134" s="617" t="s">
        <v>24</v>
      </c>
      <c r="G1134" s="624"/>
      <c r="O1134" s="616"/>
      <c r="P1134" s="616"/>
      <c r="Q1134" s="616"/>
      <c r="AA1134" s="624"/>
      <c r="AB1134" s="663">
        <v>39049008321</v>
      </c>
      <c r="AC1134" s="663" t="s">
        <v>6066</v>
      </c>
      <c r="AD1134" s="663" t="s">
        <v>4950</v>
      </c>
      <c r="AE1134" s="663" t="s">
        <v>4939</v>
      </c>
      <c r="AF1134" s="663" t="s">
        <v>4946</v>
      </c>
    </row>
    <row r="1135" spans="1:32" s="608" customFormat="1" x14ac:dyDescent="0.25">
      <c r="A1135" s="624"/>
      <c r="B1135" s="617">
        <v>39049007520</v>
      </c>
      <c r="C1135" s="617" t="s">
        <v>2803</v>
      </c>
      <c r="D1135" s="617" t="s">
        <v>49</v>
      </c>
      <c r="E1135" s="617" t="s">
        <v>4854</v>
      </c>
      <c r="F1135" s="617" t="s">
        <v>24</v>
      </c>
      <c r="G1135" s="624"/>
      <c r="O1135" s="616"/>
      <c r="P1135" s="616"/>
      <c r="Q1135" s="616"/>
      <c r="AA1135" s="624"/>
      <c r="AB1135" s="663">
        <v>39049008322</v>
      </c>
      <c r="AC1135" s="663" t="s">
        <v>6067</v>
      </c>
      <c r="AD1135" s="663" t="s">
        <v>4948</v>
      </c>
      <c r="AE1135" s="663" t="s">
        <v>4939</v>
      </c>
      <c r="AF1135" s="663" t="s">
        <v>4962</v>
      </c>
    </row>
    <row r="1136" spans="1:32" s="608" customFormat="1" x14ac:dyDescent="0.25">
      <c r="A1136" s="624"/>
      <c r="B1136" s="617">
        <v>39049007531</v>
      </c>
      <c r="C1136" s="617" t="s">
        <v>2804</v>
      </c>
      <c r="D1136" s="617" t="s">
        <v>49</v>
      </c>
      <c r="E1136" s="617" t="s">
        <v>4854</v>
      </c>
      <c r="F1136" s="617" t="s">
        <v>24</v>
      </c>
      <c r="G1136" s="624"/>
      <c r="O1136" s="616"/>
      <c r="P1136" s="616"/>
      <c r="Q1136" s="616"/>
      <c r="AA1136" s="624"/>
      <c r="AB1136" s="663">
        <v>39049008330</v>
      </c>
      <c r="AC1136" s="663" t="s">
        <v>6068</v>
      </c>
      <c r="AD1136" s="663" t="s">
        <v>4950</v>
      </c>
      <c r="AE1136" s="663" t="s">
        <v>4928</v>
      </c>
      <c r="AF1136" s="663" t="s">
        <v>4946</v>
      </c>
    </row>
    <row r="1137" spans="1:32" s="608" customFormat="1" x14ac:dyDescent="0.25">
      <c r="A1137" s="624"/>
      <c r="B1137" s="617">
        <v>39049007532</v>
      </c>
      <c r="C1137" s="617" t="s">
        <v>2805</v>
      </c>
      <c r="D1137" s="617" t="s">
        <v>49</v>
      </c>
      <c r="E1137" s="617" t="s">
        <v>4854</v>
      </c>
      <c r="F1137" s="617" t="s">
        <v>24</v>
      </c>
      <c r="G1137" s="624"/>
      <c r="O1137" s="616"/>
      <c r="P1137" s="616"/>
      <c r="Q1137" s="616"/>
      <c r="AA1137" s="624"/>
      <c r="AB1137" s="663">
        <v>39049008340</v>
      </c>
      <c r="AC1137" s="663" t="s">
        <v>6069</v>
      </c>
      <c r="AD1137" s="663" t="s">
        <v>4950</v>
      </c>
      <c r="AE1137" s="663" t="s">
        <v>4939</v>
      </c>
      <c r="AF1137" s="663" t="s">
        <v>4946</v>
      </c>
    </row>
    <row r="1138" spans="1:32" s="608" customFormat="1" x14ac:dyDescent="0.25">
      <c r="A1138" s="624"/>
      <c r="B1138" s="617">
        <v>39049007533</v>
      </c>
      <c r="C1138" s="617" t="s">
        <v>2806</v>
      </c>
      <c r="D1138" s="617" t="s">
        <v>49</v>
      </c>
      <c r="E1138" s="617" t="s">
        <v>4854</v>
      </c>
      <c r="F1138" s="617" t="s">
        <v>24</v>
      </c>
      <c r="G1138" s="624"/>
      <c r="O1138" s="616"/>
      <c r="P1138" s="616"/>
      <c r="Q1138" s="616"/>
      <c r="AA1138" s="624"/>
      <c r="AB1138" s="663">
        <v>39049008350</v>
      </c>
      <c r="AC1138" s="663" t="s">
        <v>6070</v>
      </c>
      <c r="AD1138" s="663" t="s">
        <v>4927</v>
      </c>
      <c r="AE1138" s="663" t="s">
        <v>4939</v>
      </c>
      <c r="AF1138" s="663" t="s">
        <v>4946</v>
      </c>
    </row>
    <row r="1139" spans="1:32" s="608" customFormat="1" x14ac:dyDescent="0.25">
      <c r="A1139" s="624"/>
      <c r="B1139" s="617">
        <v>39049007534</v>
      </c>
      <c r="C1139" s="617" t="s">
        <v>2807</v>
      </c>
      <c r="D1139" s="617" t="s">
        <v>49</v>
      </c>
      <c r="E1139" s="617" t="s">
        <v>4854</v>
      </c>
      <c r="F1139" s="617" t="s">
        <v>24</v>
      </c>
      <c r="G1139" s="624"/>
      <c r="O1139" s="616"/>
      <c r="P1139" s="616"/>
      <c r="Q1139" s="616"/>
      <c r="AA1139" s="624"/>
      <c r="AB1139" s="663">
        <v>39049008360</v>
      </c>
      <c r="AC1139" s="663" t="s">
        <v>6071</v>
      </c>
      <c r="AD1139" s="663" t="s">
        <v>4950</v>
      </c>
      <c r="AE1139" s="663" t="s">
        <v>4931</v>
      </c>
      <c r="AF1139" s="663" t="s">
        <v>4946</v>
      </c>
    </row>
    <row r="1140" spans="1:32" s="608" customFormat="1" x14ac:dyDescent="0.25">
      <c r="A1140" s="624"/>
      <c r="B1140" s="617">
        <v>39049007550</v>
      </c>
      <c r="C1140" s="617" t="s">
        <v>2808</v>
      </c>
      <c r="D1140" s="617" t="s">
        <v>49</v>
      </c>
      <c r="E1140" s="617" t="s">
        <v>4854</v>
      </c>
      <c r="F1140" s="617" t="s">
        <v>26</v>
      </c>
      <c r="G1140" s="624"/>
      <c r="O1140" s="616"/>
      <c r="P1140" s="616"/>
      <c r="Q1140" s="616"/>
      <c r="AA1140" s="624"/>
      <c r="AB1140" s="663">
        <v>39049008370</v>
      </c>
      <c r="AC1140" s="663" t="s">
        <v>6072</v>
      </c>
      <c r="AD1140" s="663" t="s">
        <v>4948</v>
      </c>
      <c r="AE1140" s="663" t="s">
        <v>4939</v>
      </c>
      <c r="AF1140" s="663" t="s">
        <v>4946</v>
      </c>
    </row>
    <row r="1141" spans="1:32" s="608" customFormat="1" x14ac:dyDescent="0.25">
      <c r="A1141" s="624"/>
      <c r="B1141" s="617">
        <v>39049007552</v>
      </c>
      <c r="C1141" s="617" t="s">
        <v>2809</v>
      </c>
      <c r="D1141" s="617" t="s">
        <v>49</v>
      </c>
      <c r="E1141" s="617" t="s">
        <v>4854</v>
      </c>
      <c r="F1141" s="617" t="s">
        <v>24</v>
      </c>
      <c r="G1141" s="624"/>
      <c r="O1141" s="616"/>
      <c r="P1141" s="616"/>
      <c r="Q1141" s="616"/>
      <c r="AA1141" s="624"/>
      <c r="AB1141" s="663">
        <v>39049008380</v>
      </c>
      <c r="AC1141" s="663" t="s">
        <v>6073</v>
      </c>
      <c r="AD1141" s="663" t="s">
        <v>4950</v>
      </c>
      <c r="AE1141" s="663" t="s">
        <v>4939</v>
      </c>
      <c r="AF1141" s="663" t="s">
        <v>4946</v>
      </c>
    </row>
    <row r="1142" spans="1:32" s="608" customFormat="1" x14ac:dyDescent="0.25">
      <c r="A1142" s="624"/>
      <c r="B1142" s="617">
        <v>39049007553</v>
      </c>
      <c r="C1142" s="617" t="s">
        <v>2810</v>
      </c>
      <c r="D1142" s="617" t="s">
        <v>49</v>
      </c>
      <c r="E1142" s="617" t="s">
        <v>4854</v>
      </c>
      <c r="F1142" s="617" t="s">
        <v>24</v>
      </c>
      <c r="G1142" s="624"/>
      <c r="O1142" s="616"/>
      <c r="P1142" s="616"/>
      <c r="Q1142" s="616"/>
      <c r="AA1142" s="624"/>
      <c r="AB1142" s="663">
        <v>39049008400</v>
      </c>
      <c r="AC1142" s="663" t="s">
        <v>6074</v>
      </c>
      <c r="AD1142" s="663" t="s">
        <v>4938</v>
      </c>
      <c r="AE1142" s="663" t="s">
        <v>4934</v>
      </c>
      <c r="AF1142" s="663" t="s">
        <v>4946</v>
      </c>
    </row>
    <row r="1143" spans="1:32" s="608" customFormat="1" x14ac:dyDescent="0.25">
      <c r="A1143" s="624"/>
      <c r="B1143" s="617">
        <v>39049007710</v>
      </c>
      <c r="C1143" s="617" t="s">
        <v>2811</v>
      </c>
      <c r="D1143" s="617" t="s">
        <v>49</v>
      </c>
      <c r="E1143" s="617" t="s">
        <v>4854</v>
      </c>
      <c r="F1143" s="617" t="s">
        <v>24</v>
      </c>
      <c r="G1143" s="624"/>
      <c r="O1143" s="616"/>
      <c r="P1143" s="616"/>
      <c r="Q1143" s="616"/>
      <c r="AA1143" s="624"/>
      <c r="AB1143" s="663">
        <v>39049008500</v>
      </c>
      <c r="AC1143" s="663" t="s">
        <v>6075</v>
      </c>
      <c r="AD1143" s="663" t="s">
        <v>4938</v>
      </c>
      <c r="AE1143" s="663" t="s">
        <v>4939</v>
      </c>
      <c r="AF1143" s="663" t="s">
        <v>4946</v>
      </c>
    </row>
    <row r="1144" spans="1:32" s="608" customFormat="1" x14ac:dyDescent="0.25">
      <c r="A1144" s="624"/>
      <c r="B1144" s="617">
        <v>39049007721</v>
      </c>
      <c r="C1144" s="617" t="s">
        <v>2812</v>
      </c>
      <c r="D1144" s="617" t="s">
        <v>49</v>
      </c>
      <c r="E1144" s="617" t="s">
        <v>4854</v>
      </c>
      <c r="F1144" s="617" t="s">
        <v>24</v>
      </c>
      <c r="G1144" s="624"/>
      <c r="O1144" s="616"/>
      <c r="P1144" s="616"/>
      <c r="Q1144" s="616"/>
      <c r="AA1144" s="624"/>
      <c r="AB1144" s="663">
        <v>39049008710</v>
      </c>
      <c r="AC1144" s="663" t="s">
        <v>6076</v>
      </c>
      <c r="AD1144" s="663" t="s">
        <v>4948</v>
      </c>
      <c r="AE1144" s="663" t="s">
        <v>4931</v>
      </c>
      <c r="AF1144" s="663" t="s">
        <v>4962</v>
      </c>
    </row>
    <row r="1145" spans="1:32" s="608" customFormat="1" x14ac:dyDescent="0.25">
      <c r="A1145" s="624"/>
      <c r="B1145" s="617">
        <v>39049007722</v>
      </c>
      <c r="C1145" s="617" t="s">
        <v>2813</v>
      </c>
      <c r="D1145" s="617" t="s">
        <v>49</v>
      </c>
      <c r="E1145" s="617" t="s">
        <v>4854</v>
      </c>
      <c r="F1145" s="617" t="s">
        <v>24</v>
      </c>
      <c r="G1145" s="624"/>
      <c r="O1145" s="616"/>
      <c r="P1145" s="616"/>
      <c r="Q1145" s="616"/>
      <c r="AA1145" s="624"/>
      <c r="AB1145" s="663">
        <v>39049008720</v>
      </c>
      <c r="AC1145" s="663" t="s">
        <v>6077</v>
      </c>
      <c r="AD1145" s="663" t="s">
        <v>4927</v>
      </c>
      <c r="AE1145" s="663" t="s">
        <v>4939</v>
      </c>
      <c r="AF1145" s="663" t="s">
        <v>4946</v>
      </c>
    </row>
    <row r="1146" spans="1:32" s="608" customFormat="1" x14ac:dyDescent="0.25">
      <c r="A1146" s="624"/>
      <c r="B1146" s="617">
        <v>39049007730</v>
      </c>
      <c r="C1146" s="617" t="s">
        <v>2814</v>
      </c>
      <c r="D1146" s="617" t="s">
        <v>49</v>
      </c>
      <c r="E1146" s="617" t="s">
        <v>4854</v>
      </c>
      <c r="F1146" s="617" t="s">
        <v>26</v>
      </c>
      <c r="G1146" s="624"/>
      <c r="O1146" s="616"/>
      <c r="P1146" s="616"/>
      <c r="Q1146" s="616"/>
      <c r="AA1146" s="624"/>
      <c r="AB1146" s="663">
        <v>39049008730</v>
      </c>
      <c r="AC1146" s="663" t="s">
        <v>6078</v>
      </c>
      <c r="AD1146" s="663" t="s">
        <v>4927</v>
      </c>
      <c r="AE1146" s="663" t="s">
        <v>4931</v>
      </c>
      <c r="AF1146" s="663" t="s">
        <v>4946</v>
      </c>
    </row>
    <row r="1147" spans="1:32" s="608" customFormat="1" x14ac:dyDescent="0.25">
      <c r="A1147" s="624"/>
      <c r="B1147" s="617">
        <v>39049007740</v>
      </c>
      <c r="C1147" s="617" t="s">
        <v>2815</v>
      </c>
      <c r="D1147" s="617" t="s">
        <v>49</v>
      </c>
      <c r="E1147" s="617" t="s">
        <v>4854</v>
      </c>
      <c r="F1147" s="617" t="s">
        <v>24</v>
      </c>
      <c r="G1147" s="624"/>
      <c r="O1147" s="616"/>
      <c r="P1147" s="616"/>
      <c r="Q1147" s="616"/>
      <c r="AA1147" s="624"/>
      <c r="AB1147" s="663">
        <v>39049008811</v>
      </c>
      <c r="AC1147" s="663" t="s">
        <v>6079</v>
      </c>
      <c r="AD1147" s="663" t="s">
        <v>4927</v>
      </c>
      <c r="AE1147" s="663" t="s">
        <v>4942</v>
      </c>
      <c r="AF1147" s="663" t="s">
        <v>4946</v>
      </c>
    </row>
    <row r="1148" spans="1:32" s="608" customFormat="1" x14ac:dyDescent="0.25">
      <c r="A1148" s="624"/>
      <c r="B1148" s="617">
        <v>39049007811</v>
      </c>
      <c r="C1148" s="617" t="s">
        <v>2816</v>
      </c>
      <c r="D1148" s="617" t="s">
        <v>49</v>
      </c>
      <c r="E1148" s="617" t="s">
        <v>4854</v>
      </c>
      <c r="F1148" s="617" t="s">
        <v>26</v>
      </c>
      <c r="G1148" s="624"/>
      <c r="O1148" s="616"/>
      <c r="P1148" s="616"/>
      <c r="Q1148" s="616"/>
      <c r="AA1148" s="624"/>
      <c r="AB1148" s="663">
        <v>39049008812</v>
      </c>
      <c r="AC1148" s="663" t="s">
        <v>6080</v>
      </c>
      <c r="AD1148" s="663" t="s">
        <v>4927</v>
      </c>
      <c r="AE1148" s="663" t="s">
        <v>4931</v>
      </c>
      <c r="AF1148" s="663" t="s">
        <v>4946</v>
      </c>
    </row>
    <row r="1149" spans="1:32" s="608" customFormat="1" x14ac:dyDescent="0.25">
      <c r="A1149" s="624"/>
      <c r="B1149" s="617">
        <v>39049007812</v>
      </c>
      <c r="C1149" s="617" t="s">
        <v>2817</v>
      </c>
      <c r="D1149" s="617" t="s">
        <v>49</v>
      </c>
      <c r="E1149" s="617" t="s">
        <v>4854</v>
      </c>
      <c r="F1149" s="617" t="s">
        <v>24</v>
      </c>
      <c r="G1149" s="624"/>
      <c r="O1149" s="616"/>
      <c r="P1149" s="616"/>
      <c r="Q1149" s="616"/>
      <c r="AA1149" s="624"/>
      <c r="AB1149" s="663">
        <v>39049008813</v>
      </c>
      <c r="AC1149" s="663" t="s">
        <v>6081</v>
      </c>
      <c r="AD1149" s="663" t="s">
        <v>4927</v>
      </c>
      <c r="AE1149" s="663" t="s">
        <v>4934</v>
      </c>
      <c r="AF1149" s="663" t="s">
        <v>4946</v>
      </c>
    </row>
    <row r="1150" spans="1:32" s="608" customFormat="1" x14ac:dyDescent="0.25">
      <c r="A1150" s="624"/>
      <c r="B1150" s="617">
        <v>39049007820</v>
      </c>
      <c r="C1150" s="617" t="s">
        <v>2818</v>
      </c>
      <c r="D1150" s="617" t="s">
        <v>49</v>
      </c>
      <c r="E1150" s="617" t="s">
        <v>4854</v>
      </c>
      <c r="F1150" s="617" t="s">
        <v>24</v>
      </c>
      <c r="G1150" s="624"/>
      <c r="O1150" s="616"/>
      <c r="P1150" s="616"/>
      <c r="Q1150" s="616"/>
      <c r="AA1150" s="624"/>
      <c r="AB1150" s="663">
        <v>39049008821</v>
      </c>
      <c r="AC1150" s="663" t="s">
        <v>6082</v>
      </c>
      <c r="AD1150" s="663" t="s">
        <v>4950</v>
      </c>
      <c r="AE1150" s="663" t="s">
        <v>4942</v>
      </c>
      <c r="AF1150" s="663" t="s">
        <v>4946</v>
      </c>
    </row>
    <row r="1151" spans="1:32" s="608" customFormat="1" x14ac:dyDescent="0.25">
      <c r="A1151" s="624"/>
      <c r="B1151" s="617">
        <v>39049007830</v>
      </c>
      <c r="C1151" s="617" t="s">
        <v>2819</v>
      </c>
      <c r="D1151" s="617" t="s">
        <v>49</v>
      </c>
      <c r="E1151" s="617" t="s">
        <v>4854</v>
      </c>
      <c r="F1151" s="617" t="s">
        <v>24</v>
      </c>
      <c r="G1151" s="624"/>
      <c r="O1151" s="616"/>
      <c r="P1151" s="616"/>
      <c r="Q1151" s="616"/>
      <c r="AA1151" s="624"/>
      <c r="AB1151" s="663">
        <v>39049008822</v>
      </c>
      <c r="AC1151" s="663" t="s">
        <v>6083</v>
      </c>
      <c r="AD1151" s="663" t="s">
        <v>4927</v>
      </c>
      <c r="AE1151" s="663" t="s">
        <v>4931</v>
      </c>
      <c r="AF1151" s="663" t="s">
        <v>4946</v>
      </c>
    </row>
    <row r="1152" spans="1:32" s="608" customFormat="1" x14ac:dyDescent="0.25">
      <c r="A1152" s="624"/>
      <c r="B1152" s="617">
        <v>39049007922</v>
      </c>
      <c r="C1152" s="617" t="s">
        <v>2820</v>
      </c>
      <c r="D1152" s="617" t="s">
        <v>49</v>
      </c>
      <c r="E1152" s="617" t="s">
        <v>4854</v>
      </c>
      <c r="F1152" s="617" t="s">
        <v>26</v>
      </c>
      <c r="G1152" s="624"/>
      <c r="O1152" s="616"/>
      <c r="P1152" s="616"/>
      <c r="Q1152" s="616"/>
      <c r="AA1152" s="624"/>
      <c r="AB1152" s="663">
        <v>39049008825</v>
      </c>
      <c r="AC1152" s="663" t="s">
        <v>6084</v>
      </c>
      <c r="AD1152" s="663" t="s">
        <v>4950</v>
      </c>
      <c r="AE1152" s="663" t="s">
        <v>4928</v>
      </c>
      <c r="AF1152" s="663" t="s">
        <v>4946</v>
      </c>
    </row>
    <row r="1153" spans="1:32" s="608" customFormat="1" x14ac:dyDescent="0.25">
      <c r="A1153" s="624"/>
      <c r="B1153" s="617">
        <v>39049007931</v>
      </c>
      <c r="C1153" s="617" t="s">
        <v>2821</v>
      </c>
      <c r="D1153" s="617" t="s">
        <v>49</v>
      </c>
      <c r="E1153" s="617" t="s">
        <v>4854</v>
      </c>
      <c r="F1153" s="617" t="s">
        <v>26</v>
      </c>
      <c r="G1153" s="624"/>
      <c r="O1153" s="616"/>
      <c r="P1153" s="616"/>
      <c r="Q1153" s="616"/>
      <c r="AA1153" s="624"/>
      <c r="AB1153" s="663">
        <v>39049008900</v>
      </c>
      <c r="AC1153" s="663" t="s">
        <v>6085</v>
      </c>
      <c r="AD1153" s="663" t="s">
        <v>4938</v>
      </c>
      <c r="AE1153" s="663" t="s">
        <v>4934</v>
      </c>
      <c r="AF1153" s="663" t="s">
        <v>4946</v>
      </c>
    </row>
    <row r="1154" spans="1:32" s="608" customFormat="1" x14ac:dyDescent="0.25">
      <c r="A1154" s="624"/>
      <c r="B1154" s="617">
        <v>39049007941</v>
      </c>
      <c r="C1154" s="617" t="s">
        <v>2822</v>
      </c>
      <c r="D1154" s="617" t="s">
        <v>49</v>
      </c>
      <c r="E1154" s="617" t="s">
        <v>4854</v>
      </c>
      <c r="F1154" s="617" t="s">
        <v>26</v>
      </c>
      <c r="G1154" s="624"/>
      <c r="O1154" s="616"/>
      <c r="P1154" s="616"/>
      <c r="Q1154" s="616"/>
      <c r="AA1154" s="624"/>
      <c r="AB1154" s="663">
        <v>39049009000</v>
      </c>
      <c r="AC1154" s="663" t="s">
        <v>6086</v>
      </c>
      <c r="AD1154" s="663" t="s">
        <v>4938</v>
      </c>
      <c r="AE1154" s="663" t="s">
        <v>4939</v>
      </c>
      <c r="AF1154" s="663" t="s">
        <v>4946</v>
      </c>
    </row>
    <row r="1155" spans="1:32" s="608" customFormat="1" x14ac:dyDescent="0.25">
      <c r="A1155" s="624"/>
      <c r="B1155" s="617">
        <v>39049007955</v>
      </c>
      <c r="C1155" s="617" t="s">
        <v>2823</v>
      </c>
      <c r="D1155" s="617" t="s">
        <v>49</v>
      </c>
      <c r="E1155" s="617" t="s">
        <v>4854</v>
      </c>
      <c r="F1155" s="617" t="s">
        <v>26</v>
      </c>
      <c r="G1155" s="624"/>
      <c r="O1155" s="616"/>
      <c r="P1155" s="616"/>
      <c r="Q1155" s="616"/>
      <c r="AA1155" s="624"/>
      <c r="AB1155" s="663">
        <v>39049009100</v>
      </c>
      <c r="AC1155" s="663" t="s">
        <v>6087</v>
      </c>
      <c r="AD1155" s="663" t="s">
        <v>4938</v>
      </c>
      <c r="AE1155" s="663" t="s">
        <v>4939</v>
      </c>
      <c r="AF1155" s="663" t="s">
        <v>4946</v>
      </c>
    </row>
    <row r="1156" spans="1:32" s="608" customFormat="1" x14ac:dyDescent="0.25">
      <c r="A1156" s="624"/>
      <c r="B1156" s="617">
        <v>39049007956</v>
      </c>
      <c r="C1156" s="617" t="s">
        <v>2824</v>
      </c>
      <c r="D1156" s="617" t="s">
        <v>49</v>
      </c>
      <c r="E1156" s="617" t="s">
        <v>4854</v>
      </c>
      <c r="F1156" s="617" t="s">
        <v>26</v>
      </c>
      <c r="G1156" s="624"/>
      <c r="O1156" s="616"/>
      <c r="P1156" s="616"/>
      <c r="Q1156" s="616"/>
      <c r="AA1156" s="624"/>
      <c r="AB1156" s="663">
        <v>39049009210</v>
      </c>
      <c r="AC1156" s="663" t="s">
        <v>6088</v>
      </c>
      <c r="AD1156" s="663" t="s">
        <v>4927</v>
      </c>
      <c r="AE1156" s="663" t="s">
        <v>4939</v>
      </c>
      <c r="AF1156" s="663" t="s">
        <v>4946</v>
      </c>
    </row>
    <row r="1157" spans="1:32" s="608" customFormat="1" x14ac:dyDescent="0.25">
      <c r="A1157" s="624"/>
      <c r="B1157" s="617">
        <v>39049007957</v>
      </c>
      <c r="C1157" s="617" t="s">
        <v>2825</v>
      </c>
      <c r="D1157" s="617" t="s">
        <v>49</v>
      </c>
      <c r="E1157" s="617" t="s">
        <v>4854</v>
      </c>
      <c r="F1157" s="617" t="s">
        <v>26</v>
      </c>
      <c r="G1157" s="624"/>
      <c r="O1157" s="616"/>
      <c r="P1157" s="616"/>
      <c r="Q1157" s="616"/>
      <c r="AA1157" s="624"/>
      <c r="AB1157" s="663">
        <v>39049009220</v>
      </c>
      <c r="AC1157" s="663" t="s">
        <v>6089</v>
      </c>
      <c r="AD1157" s="663" t="s">
        <v>4927</v>
      </c>
      <c r="AE1157" s="663" t="s">
        <v>4928</v>
      </c>
      <c r="AF1157" s="663" t="s">
        <v>4946</v>
      </c>
    </row>
    <row r="1158" spans="1:32" s="608" customFormat="1" x14ac:dyDescent="0.25">
      <c r="A1158" s="624"/>
      <c r="B1158" s="617">
        <v>39049007958</v>
      </c>
      <c r="C1158" s="617" t="s">
        <v>2826</v>
      </c>
      <c r="D1158" s="617" t="s">
        <v>49</v>
      </c>
      <c r="E1158" s="617" t="s">
        <v>4854</v>
      </c>
      <c r="F1158" s="617" t="s">
        <v>26</v>
      </c>
      <c r="G1158" s="624"/>
      <c r="O1158" s="616"/>
      <c r="P1158" s="616"/>
      <c r="Q1158" s="616"/>
      <c r="AA1158" s="624"/>
      <c r="AB1158" s="663">
        <v>39049009230</v>
      </c>
      <c r="AC1158" s="663" t="s">
        <v>6090</v>
      </c>
      <c r="AD1158" s="663" t="s">
        <v>4927</v>
      </c>
      <c r="AE1158" s="663" t="s">
        <v>4934</v>
      </c>
      <c r="AF1158" s="663" t="s">
        <v>4946</v>
      </c>
    </row>
    <row r="1159" spans="1:32" s="608" customFormat="1" x14ac:dyDescent="0.25">
      <c r="A1159" s="624"/>
      <c r="B1159" s="617">
        <v>39049007959</v>
      </c>
      <c r="C1159" s="617" t="s">
        <v>2827</v>
      </c>
      <c r="D1159" s="617" t="s">
        <v>49</v>
      </c>
      <c r="E1159" s="617" t="s">
        <v>4854</v>
      </c>
      <c r="F1159" s="617" t="s">
        <v>26</v>
      </c>
      <c r="G1159" s="624"/>
      <c r="O1159" s="616"/>
      <c r="P1159" s="616"/>
      <c r="Q1159" s="616"/>
      <c r="AA1159" s="624"/>
      <c r="AB1159" s="663">
        <v>39049009240</v>
      </c>
      <c r="AC1159" s="663" t="s">
        <v>6091</v>
      </c>
      <c r="AD1159" s="663" t="s">
        <v>4950</v>
      </c>
      <c r="AE1159" s="663" t="s">
        <v>4942</v>
      </c>
      <c r="AF1159" s="663" t="s">
        <v>4946</v>
      </c>
    </row>
    <row r="1160" spans="1:32" s="608" customFormat="1" x14ac:dyDescent="0.25">
      <c r="A1160" s="624"/>
      <c r="B1160" s="617">
        <v>39049007960</v>
      </c>
      <c r="C1160" s="617" t="s">
        <v>2828</v>
      </c>
      <c r="D1160" s="617" t="s">
        <v>49</v>
      </c>
      <c r="E1160" s="617" t="s">
        <v>4854</v>
      </c>
      <c r="F1160" s="617" t="s">
        <v>26</v>
      </c>
      <c r="G1160" s="624"/>
      <c r="O1160" s="616"/>
      <c r="P1160" s="616"/>
      <c r="Q1160" s="616"/>
      <c r="AA1160" s="624"/>
      <c r="AB1160" s="663">
        <v>39049009250</v>
      </c>
      <c r="AC1160" s="663" t="s">
        <v>6092</v>
      </c>
      <c r="AD1160" s="663" t="s">
        <v>4950</v>
      </c>
      <c r="AE1160" s="663" t="s">
        <v>4934</v>
      </c>
      <c r="AF1160" s="663" t="s">
        <v>4946</v>
      </c>
    </row>
    <row r="1161" spans="1:32" s="608" customFormat="1" x14ac:dyDescent="0.25">
      <c r="A1161" s="624"/>
      <c r="B1161" s="617">
        <v>39049007961</v>
      </c>
      <c r="C1161" s="617" t="s">
        <v>2829</v>
      </c>
      <c r="D1161" s="617" t="s">
        <v>49</v>
      </c>
      <c r="E1161" s="617" t="s">
        <v>4854</v>
      </c>
      <c r="F1161" s="617" t="s">
        <v>26</v>
      </c>
      <c r="G1161" s="624"/>
      <c r="O1161" s="616"/>
      <c r="P1161" s="616"/>
      <c r="Q1161" s="616"/>
      <c r="AA1161" s="624"/>
      <c r="AB1161" s="663">
        <v>39049009311</v>
      </c>
      <c r="AC1161" s="663" t="s">
        <v>6093</v>
      </c>
      <c r="AD1161" s="663" t="s">
        <v>4927</v>
      </c>
      <c r="AE1161" s="663" t="s">
        <v>4928</v>
      </c>
      <c r="AF1161" s="663" t="s">
        <v>4946</v>
      </c>
    </row>
    <row r="1162" spans="1:32" s="608" customFormat="1" x14ac:dyDescent="0.25">
      <c r="A1162" s="624"/>
      <c r="B1162" s="617">
        <v>39049007962</v>
      </c>
      <c r="C1162" s="617" t="s">
        <v>2830</v>
      </c>
      <c r="D1162" s="617" t="s">
        <v>49</v>
      </c>
      <c r="E1162" s="617" t="s">
        <v>4854</v>
      </c>
      <c r="F1162" s="617" t="s">
        <v>26</v>
      </c>
      <c r="G1162" s="624"/>
      <c r="O1162" s="616"/>
      <c r="P1162" s="616"/>
      <c r="Q1162" s="616"/>
      <c r="AA1162" s="624"/>
      <c r="AB1162" s="663">
        <v>39049009312</v>
      </c>
      <c r="AC1162" s="663" t="s">
        <v>6094</v>
      </c>
      <c r="AD1162" s="663" t="s">
        <v>4927</v>
      </c>
      <c r="AE1162" s="663" t="s">
        <v>4939</v>
      </c>
      <c r="AF1162" s="663" t="s">
        <v>4946</v>
      </c>
    </row>
    <row r="1163" spans="1:32" s="608" customFormat="1" x14ac:dyDescent="0.25">
      <c r="A1163" s="624"/>
      <c r="B1163" s="617">
        <v>39049007963</v>
      </c>
      <c r="C1163" s="617" t="s">
        <v>2831</v>
      </c>
      <c r="D1163" s="617" t="s">
        <v>49</v>
      </c>
      <c r="E1163" s="617" t="s">
        <v>4854</v>
      </c>
      <c r="F1163" s="617" t="s">
        <v>26</v>
      </c>
      <c r="G1163" s="624"/>
      <c r="O1163" s="616"/>
      <c r="P1163" s="616"/>
      <c r="Q1163" s="616"/>
      <c r="AA1163" s="624"/>
      <c r="AB1163" s="663">
        <v>39049009321</v>
      </c>
      <c r="AC1163" s="663" t="s">
        <v>6095</v>
      </c>
      <c r="AD1163" s="663" t="s">
        <v>4927</v>
      </c>
      <c r="AE1163" s="663" t="s">
        <v>4942</v>
      </c>
      <c r="AF1163" s="663" t="s">
        <v>4946</v>
      </c>
    </row>
    <row r="1164" spans="1:32" s="608" customFormat="1" x14ac:dyDescent="0.25">
      <c r="A1164" s="624"/>
      <c r="B1164" s="617">
        <v>39049007964</v>
      </c>
      <c r="C1164" s="617" t="s">
        <v>2832</v>
      </c>
      <c r="D1164" s="617" t="s">
        <v>49</v>
      </c>
      <c r="E1164" s="617" t="s">
        <v>4854</v>
      </c>
      <c r="F1164" s="617" t="s">
        <v>26</v>
      </c>
      <c r="G1164" s="624"/>
      <c r="O1164" s="616"/>
      <c r="P1164" s="616"/>
      <c r="Q1164" s="616"/>
      <c r="AA1164" s="624"/>
      <c r="AB1164" s="663">
        <v>39049009322</v>
      </c>
      <c r="AC1164" s="663" t="s">
        <v>6096</v>
      </c>
      <c r="AD1164" s="663" t="s">
        <v>4927</v>
      </c>
      <c r="AE1164" s="663" t="s">
        <v>4934</v>
      </c>
      <c r="AF1164" s="663" t="s">
        <v>4946</v>
      </c>
    </row>
    <row r="1165" spans="1:32" s="608" customFormat="1" x14ac:dyDescent="0.25">
      <c r="A1165" s="624"/>
      <c r="B1165" s="617">
        <v>39049007965</v>
      </c>
      <c r="C1165" s="617" t="s">
        <v>2833</v>
      </c>
      <c r="D1165" s="617" t="s">
        <v>49</v>
      </c>
      <c r="E1165" s="617" t="s">
        <v>4854</v>
      </c>
      <c r="F1165" s="617" t="s">
        <v>26</v>
      </c>
      <c r="G1165" s="624"/>
      <c r="O1165" s="616"/>
      <c r="P1165" s="616"/>
      <c r="Q1165" s="616"/>
      <c r="AA1165" s="624"/>
      <c r="AB1165" s="663">
        <v>39049009323</v>
      </c>
      <c r="AC1165" s="663" t="s">
        <v>6097</v>
      </c>
      <c r="AD1165" s="663" t="s">
        <v>4927</v>
      </c>
      <c r="AE1165" s="663" t="s">
        <v>4934</v>
      </c>
      <c r="AF1165" s="663" t="s">
        <v>4946</v>
      </c>
    </row>
    <row r="1166" spans="1:32" s="608" customFormat="1" x14ac:dyDescent="0.25">
      <c r="A1166" s="624"/>
      <c r="B1166" s="617">
        <v>39049007966</v>
      </c>
      <c r="C1166" s="617" t="s">
        <v>2834</v>
      </c>
      <c r="D1166" s="617" t="s">
        <v>49</v>
      </c>
      <c r="E1166" s="617" t="s">
        <v>4854</v>
      </c>
      <c r="F1166" s="617" t="s">
        <v>26</v>
      </c>
      <c r="G1166" s="624"/>
      <c r="O1166" s="616"/>
      <c r="P1166" s="616"/>
      <c r="Q1166" s="616"/>
      <c r="AA1166" s="624"/>
      <c r="AB1166" s="663">
        <v>39049009325</v>
      </c>
      <c r="AC1166" s="663" t="s">
        <v>6098</v>
      </c>
      <c r="AD1166" s="663" t="s">
        <v>4927</v>
      </c>
      <c r="AE1166" s="663" t="s">
        <v>4939</v>
      </c>
      <c r="AF1166" s="663" t="s">
        <v>4946</v>
      </c>
    </row>
    <row r="1167" spans="1:32" s="608" customFormat="1" x14ac:dyDescent="0.25">
      <c r="A1167" s="624"/>
      <c r="B1167" s="617">
        <v>39049008001</v>
      </c>
      <c r="C1167" s="617" t="s">
        <v>2835</v>
      </c>
      <c r="D1167" s="617" t="s">
        <v>49</v>
      </c>
      <c r="E1167" s="617" t="s">
        <v>4854</v>
      </c>
      <c r="F1167" s="617" t="s">
        <v>26</v>
      </c>
      <c r="G1167" s="624"/>
      <c r="O1167" s="616"/>
      <c r="P1167" s="616"/>
      <c r="Q1167" s="616"/>
      <c r="AA1167" s="624"/>
      <c r="AB1167" s="663">
        <v>39049009326</v>
      </c>
      <c r="AC1167" s="663" t="s">
        <v>6099</v>
      </c>
      <c r="AD1167" s="663" t="s">
        <v>4927</v>
      </c>
      <c r="AE1167" s="663" t="s">
        <v>4939</v>
      </c>
      <c r="AF1167" s="663" t="s">
        <v>4946</v>
      </c>
    </row>
    <row r="1168" spans="1:32" s="608" customFormat="1" x14ac:dyDescent="0.25">
      <c r="A1168" s="624"/>
      <c r="B1168" s="617">
        <v>39049008002</v>
      </c>
      <c r="C1168" s="617" t="s">
        <v>2836</v>
      </c>
      <c r="D1168" s="617" t="s">
        <v>49</v>
      </c>
      <c r="E1168" s="617" t="s">
        <v>4854</v>
      </c>
      <c r="F1168" s="617" t="s">
        <v>26</v>
      </c>
      <c r="G1168" s="624"/>
      <c r="O1168" s="616"/>
      <c r="P1168" s="616"/>
      <c r="Q1168" s="616"/>
      <c r="AA1168" s="624"/>
      <c r="AB1168" s="663">
        <v>39049009331</v>
      </c>
      <c r="AC1168" s="663" t="s">
        <v>6100</v>
      </c>
      <c r="AD1168" s="663" t="s">
        <v>4927</v>
      </c>
      <c r="AE1168" s="663" t="s">
        <v>4939</v>
      </c>
      <c r="AF1168" s="663" t="s">
        <v>4946</v>
      </c>
    </row>
    <row r="1169" spans="1:32" s="608" customFormat="1" x14ac:dyDescent="0.25">
      <c r="A1169" s="624"/>
      <c r="B1169" s="617">
        <v>39049008110</v>
      </c>
      <c r="C1169" s="617" t="s">
        <v>2837</v>
      </c>
      <c r="D1169" s="617" t="s">
        <v>49</v>
      </c>
      <c r="E1169" s="617" t="s">
        <v>4854</v>
      </c>
      <c r="F1169" s="617" t="s">
        <v>26</v>
      </c>
      <c r="G1169" s="624"/>
      <c r="O1169" s="616"/>
      <c r="P1169" s="616"/>
      <c r="Q1169" s="616"/>
      <c r="AA1169" s="624"/>
      <c r="AB1169" s="663">
        <v>39049009332</v>
      </c>
      <c r="AC1169" s="663" t="s">
        <v>6101</v>
      </c>
      <c r="AD1169" s="663" t="s">
        <v>4950</v>
      </c>
      <c r="AE1169" s="663" t="s">
        <v>4939</v>
      </c>
      <c r="AF1169" s="663" t="s">
        <v>4946</v>
      </c>
    </row>
    <row r="1170" spans="1:32" s="608" customFormat="1" x14ac:dyDescent="0.25">
      <c r="A1170" s="624"/>
      <c r="B1170" s="617">
        <v>39049008120</v>
      </c>
      <c r="C1170" s="617" t="s">
        <v>2838</v>
      </c>
      <c r="D1170" s="617" t="s">
        <v>49</v>
      </c>
      <c r="E1170" s="617" t="s">
        <v>4854</v>
      </c>
      <c r="F1170" s="617" t="s">
        <v>24</v>
      </c>
      <c r="G1170" s="624"/>
      <c r="O1170" s="616"/>
      <c r="P1170" s="616"/>
      <c r="Q1170" s="616"/>
      <c r="AA1170" s="624"/>
      <c r="AB1170" s="663">
        <v>39049009333</v>
      </c>
      <c r="AC1170" s="663" t="s">
        <v>6102</v>
      </c>
      <c r="AD1170" s="663" t="s">
        <v>4927</v>
      </c>
      <c r="AE1170" s="663" t="s">
        <v>4934</v>
      </c>
      <c r="AF1170" s="663" t="s">
        <v>4946</v>
      </c>
    </row>
    <row r="1171" spans="1:32" s="608" customFormat="1" x14ac:dyDescent="0.25">
      <c r="A1171" s="624"/>
      <c r="B1171" s="617">
        <v>39049008132</v>
      </c>
      <c r="C1171" s="617" t="s">
        <v>2839</v>
      </c>
      <c r="D1171" s="617" t="s">
        <v>49</v>
      </c>
      <c r="E1171" s="617" t="s">
        <v>4854</v>
      </c>
      <c r="F1171" s="617" t="s">
        <v>26</v>
      </c>
      <c r="G1171" s="624"/>
      <c r="O1171" s="616"/>
      <c r="P1171" s="616"/>
      <c r="Q1171" s="616"/>
      <c r="AA1171" s="624"/>
      <c r="AB1171" s="663">
        <v>39049009334</v>
      </c>
      <c r="AC1171" s="663" t="s">
        <v>6103</v>
      </c>
      <c r="AD1171" s="663" t="s">
        <v>4927</v>
      </c>
      <c r="AE1171" s="663" t="s">
        <v>4928</v>
      </c>
      <c r="AF1171" s="663" t="s">
        <v>4946</v>
      </c>
    </row>
    <row r="1172" spans="1:32" s="608" customFormat="1" x14ac:dyDescent="0.25">
      <c r="A1172" s="624"/>
      <c r="B1172" s="617">
        <v>39049008163</v>
      </c>
      <c r="C1172" s="617" t="s">
        <v>2840</v>
      </c>
      <c r="D1172" s="617" t="s">
        <v>49</v>
      </c>
      <c r="E1172" s="617" t="s">
        <v>4854</v>
      </c>
      <c r="F1172" s="617" t="s">
        <v>24</v>
      </c>
      <c r="G1172" s="624"/>
      <c r="O1172" s="616"/>
      <c r="P1172" s="616"/>
      <c r="Q1172" s="616"/>
      <c r="AA1172" s="624"/>
      <c r="AB1172" s="663">
        <v>39049009336</v>
      </c>
      <c r="AC1172" s="663" t="s">
        <v>6104</v>
      </c>
      <c r="AD1172" s="663" t="s">
        <v>4950</v>
      </c>
      <c r="AE1172" s="663" t="s">
        <v>4934</v>
      </c>
      <c r="AF1172" s="663" t="s">
        <v>4946</v>
      </c>
    </row>
    <row r="1173" spans="1:32" s="608" customFormat="1" x14ac:dyDescent="0.25">
      <c r="A1173" s="624"/>
      <c r="B1173" s="617">
        <v>39049008164</v>
      </c>
      <c r="C1173" s="617" t="s">
        <v>2841</v>
      </c>
      <c r="D1173" s="617" t="s">
        <v>49</v>
      </c>
      <c r="E1173" s="617" t="s">
        <v>4854</v>
      </c>
      <c r="F1173" s="617" t="s">
        <v>26</v>
      </c>
      <c r="G1173" s="624"/>
      <c r="O1173" s="616"/>
      <c r="P1173" s="616"/>
      <c r="Q1173" s="616"/>
      <c r="AA1173" s="624"/>
      <c r="AB1173" s="663">
        <v>39049009337</v>
      </c>
      <c r="AC1173" s="663" t="s">
        <v>6105</v>
      </c>
      <c r="AD1173" s="663" t="s">
        <v>4927</v>
      </c>
      <c r="AE1173" s="663" t="s">
        <v>4928</v>
      </c>
      <c r="AF1173" s="663" t="s">
        <v>4946</v>
      </c>
    </row>
    <row r="1174" spans="1:32" s="608" customFormat="1" x14ac:dyDescent="0.25">
      <c r="A1174" s="624"/>
      <c r="B1174" s="617">
        <v>39049008165</v>
      </c>
      <c r="C1174" s="617" t="s">
        <v>2842</v>
      </c>
      <c r="D1174" s="617" t="s">
        <v>49</v>
      </c>
      <c r="E1174" s="617" t="s">
        <v>4854</v>
      </c>
      <c r="F1174" s="617" t="s">
        <v>26</v>
      </c>
      <c r="G1174" s="624"/>
      <c r="O1174" s="616"/>
      <c r="P1174" s="616"/>
      <c r="Q1174" s="616"/>
      <c r="AA1174" s="624"/>
      <c r="AB1174" s="663">
        <v>39049009340</v>
      </c>
      <c r="AC1174" s="663" t="s">
        <v>6106</v>
      </c>
      <c r="AD1174" s="663" t="s">
        <v>4927</v>
      </c>
      <c r="AE1174" s="663" t="s">
        <v>4939</v>
      </c>
      <c r="AF1174" s="663" t="s">
        <v>4946</v>
      </c>
    </row>
    <row r="1175" spans="1:32" s="608" customFormat="1" x14ac:dyDescent="0.25">
      <c r="A1175" s="624"/>
      <c r="B1175" s="617">
        <v>39049008166</v>
      </c>
      <c r="C1175" s="617" t="s">
        <v>2843</v>
      </c>
      <c r="D1175" s="617" t="s">
        <v>49</v>
      </c>
      <c r="E1175" s="617" t="s">
        <v>4854</v>
      </c>
      <c r="F1175" s="617" t="s">
        <v>26</v>
      </c>
      <c r="G1175" s="624"/>
      <c r="O1175" s="616"/>
      <c r="P1175" s="616"/>
      <c r="Q1175" s="616"/>
      <c r="AA1175" s="624"/>
      <c r="AB1175" s="663">
        <v>39049009350</v>
      </c>
      <c r="AC1175" s="663" t="s">
        <v>6107</v>
      </c>
      <c r="AD1175" s="663" t="s">
        <v>4950</v>
      </c>
      <c r="AE1175" s="663" t="s">
        <v>4939</v>
      </c>
      <c r="AF1175" s="663" t="s">
        <v>4946</v>
      </c>
    </row>
    <row r="1176" spans="1:32" s="608" customFormat="1" x14ac:dyDescent="0.25">
      <c r="A1176" s="624"/>
      <c r="B1176" s="617">
        <v>39049008167</v>
      </c>
      <c r="C1176" s="617" t="s">
        <v>2844</v>
      </c>
      <c r="D1176" s="617" t="s">
        <v>49</v>
      </c>
      <c r="E1176" s="617" t="s">
        <v>4854</v>
      </c>
      <c r="F1176" s="617" t="s">
        <v>26</v>
      </c>
      <c r="G1176" s="624"/>
      <c r="O1176" s="616"/>
      <c r="P1176" s="616"/>
      <c r="Q1176" s="616"/>
      <c r="AA1176" s="624"/>
      <c r="AB1176" s="663">
        <v>39049009361</v>
      </c>
      <c r="AC1176" s="663" t="s">
        <v>6108</v>
      </c>
      <c r="AD1176" s="663" t="s">
        <v>4950</v>
      </c>
      <c r="AE1176" s="663" t="s">
        <v>4942</v>
      </c>
      <c r="AF1176" s="663" t="s">
        <v>4946</v>
      </c>
    </row>
    <row r="1177" spans="1:32" s="608" customFormat="1" x14ac:dyDescent="0.25">
      <c r="A1177" s="624"/>
      <c r="B1177" s="617">
        <v>39049008168</v>
      </c>
      <c r="C1177" s="617" t="s">
        <v>2845</v>
      </c>
      <c r="D1177" s="617" t="s">
        <v>49</v>
      </c>
      <c r="E1177" s="617" t="s">
        <v>4854</v>
      </c>
      <c r="F1177" s="617" t="s">
        <v>26</v>
      </c>
      <c r="G1177" s="624"/>
      <c r="O1177" s="616"/>
      <c r="P1177" s="616"/>
      <c r="Q1177" s="616"/>
      <c r="AA1177" s="624"/>
      <c r="AB1177" s="663">
        <v>39049009362</v>
      </c>
      <c r="AC1177" s="663" t="s">
        <v>6109</v>
      </c>
      <c r="AD1177" s="663" t="s">
        <v>4948</v>
      </c>
      <c r="AE1177" s="663" t="s">
        <v>4939</v>
      </c>
      <c r="AF1177" s="663" t="s">
        <v>4946</v>
      </c>
    </row>
    <row r="1178" spans="1:32" s="608" customFormat="1" x14ac:dyDescent="0.25">
      <c r="A1178" s="624"/>
      <c r="B1178" s="617">
        <v>39049008169</v>
      </c>
      <c r="C1178" s="617" t="s">
        <v>2846</v>
      </c>
      <c r="D1178" s="617" t="s">
        <v>49</v>
      </c>
      <c r="E1178" s="617" t="s">
        <v>4854</v>
      </c>
      <c r="F1178" s="617" t="s">
        <v>26</v>
      </c>
      <c r="G1178" s="624"/>
      <c r="O1178" s="616"/>
      <c r="P1178" s="616"/>
      <c r="Q1178" s="616"/>
      <c r="AA1178" s="624"/>
      <c r="AB1178" s="663">
        <v>39049009371</v>
      </c>
      <c r="AC1178" s="663" t="s">
        <v>6110</v>
      </c>
      <c r="AD1178" s="663" t="s">
        <v>4927</v>
      </c>
      <c r="AE1178" s="663" t="s">
        <v>4939</v>
      </c>
      <c r="AF1178" s="663" t="s">
        <v>4946</v>
      </c>
    </row>
    <row r="1179" spans="1:32" s="608" customFormat="1" x14ac:dyDescent="0.25">
      <c r="A1179" s="624"/>
      <c r="B1179" s="617">
        <v>39049008170</v>
      </c>
      <c r="C1179" s="617" t="s">
        <v>2847</v>
      </c>
      <c r="D1179" s="617" t="s">
        <v>49</v>
      </c>
      <c r="E1179" s="617" t="s">
        <v>4854</v>
      </c>
      <c r="F1179" s="617" t="s">
        <v>26</v>
      </c>
      <c r="G1179" s="624"/>
      <c r="O1179" s="616"/>
      <c r="P1179" s="616"/>
      <c r="Q1179" s="616"/>
      <c r="AA1179" s="624"/>
      <c r="AB1179" s="663">
        <v>39049009372</v>
      </c>
      <c r="AC1179" s="663" t="s">
        <v>6111</v>
      </c>
      <c r="AD1179" s="663" t="s">
        <v>4927</v>
      </c>
      <c r="AE1179" s="663" t="s">
        <v>4934</v>
      </c>
      <c r="AF1179" s="663" t="s">
        <v>4946</v>
      </c>
    </row>
    <row r="1180" spans="1:32" s="608" customFormat="1" x14ac:dyDescent="0.25">
      <c r="A1180" s="624"/>
      <c r="B1180" s="617">
        <v>39049008171</v>
      </c>
      <c r="C1180" s="617" t="s">
        <v>2848</v>
      </c>
      <c r="D1180" s="617" t="s">
        <v>49</v>
      </c>
      <c r="E1180" s="617" t="s">
        <v>4854</v>
      </c>
      <c r="F1180" s="617" t="s">
        <v>26</v>
      </c>
      <c r="G1180" s="624"/>
      <c r="O1180" s="616"/>
      <c r="P1180" s="616"/>
      <c r="Q1180" s="616"/>
      <c r="AA1180" s="624"/>
      <c r="AB1180" s="663">
        <v>39049009373</v>
      </c>
      <c r="AC1180" s="663" t="s">
        <v>6112</v>
      </c>
      <c r="AD1180" s="663" t="s">
        <v>4927</v>
      </c>
      <c r="AE1180" s="663" t="s">
        <v>4931</v>
      </c>
      <c r="AF1180" s="663" t="s">
        <v>4946</v>
      </c>
    </row>
    <row r="1181" spans="1:32" s="608" customFormat="1" x14ac:dyDescent="0.25">
      <c r="A1181" s="624"/>
      <c r="B1181" s="617">
        <v>39049008172</v>
      </c>
      <c r="C1181" s="617" t="s">
        <v>2849</v>
      </c>
      <c r="D1181" s="617" t="s">
        <v>49</v>
      </c>
      <c r="E1181" s="617" t="s">
        <v>4854</v>
      </c>
      <c r="F1181" s="617" t="s">
        <v>26</v>
      </c>
      <c r="G1181" s="624"/>
      <c r="O1181" s="616"/>
      <c r="P1181" s="616"/>
      <c r="Q1181" s="616"/>
      <c r="AA1181" s="624"/>
      <c r="AB1181" s="663">
        <v>39049009374</v>
      </c>
      <c r="AC1181" s="663" t="s">
        <v>6113</v>
      </c>
      <c r="AD1181" s="663" t="s">
        <v>4927</v>
      </c>
      <c r="AE1181" s="663" t="s">
        <v>4931</v>
      </c>
      <c r="AF1181" s="663" t="s">
        <v>4946</v>
      </c>
    </row>
    <row r="1182" spans="1:32" s="608" customFormat="1" x14ac:dyDescent="0.25">
      <c r="A1182" s="624"/>
      <c r="B1182" s="617">
        <v>39049008210</v>
      </c>
      <c r="C1182" s="617" t="s">
        <v>2850</v>
      </c>
      <c r="D1182" s="617" t="s">
        <v>49</v>
      </c>
      <c r="E1182" s="617" t="s">
        <v>4854</v>
      </c>
      <c r="F1182" s="617" t="s">
        <v>24</v>
      </c>
      <c r="G1182" s="624"/>
      <c r="O1182" s="616"/>
      <c r="P1182" s="616"/>
      <c r="Q1182" s="616"/>
      <c r="AA1182" s="624"/>
      <c r="AB1182" s="663">
        <v>39049009381</v>
      </c>
      <c r="AC1182" s="663" t="s">
        <v>6114</v>
      </c>
      <c r="AD1182" s="663" t="s">
        <v>4950</v>
      </c>
      <c r="AE1182" s="663" t="s">
        <v>4934</v>
      </c>
      <c r="AF1182" s="663" t="s">
        <v>4946</v>
      </c>
    </row>
    <row r="1183" spans="1:32" s="608" customFormat="1" x14ac:dyDescent="0.25">
      <c r="A1183" s="624"/>
      <c r="B1183" s="617">
        <v>39049008230</v>
      </c>
      <c r="C1183" s="617" t="s">
        <v>2851</v>
      </c>
      <c r="D1183" s="617" t="s">
        <v>49</v>
      </c>
      <c r="E1183" s="617" t="s">
        <v>4854</v>
      </c>
      <c r="F1183" s="617" t="s">
        <v>24</v>
      </c>
      <c r="G1183" s="624"/>
      <c r="O1183" s="616"/>
      <c r="P1183" s="616"/>
      <c r="Q1183" s="616"/>
      <c r="AA1183" s="624"/>
      <c r="AB1183" s="663">
        <v>39049009382</v>
      </c>
      <c r="AC1183" s="663" t="s">
        <v>6115</v>
      </c>
      <c r="AD1183" s="663" t="s">
        <v>4950</v>
      </c>
      <c r="AE1183" s="663" t="s">
        <v>4939</v>
      </c>
      <c r="AF1183" s="663" t="s">
        <v>4946</v>
      </c>
    </row>
    <row r="1184" spans="1:32" s="608" customFormat="1" x14ac:dyDescent="0.25">
      <c r="A1184" s="624"/>
      <c r="B1184" s="617">
        <v>39049008241</v>
      </c>
      <c r="C1184" s="617" t="s">
        <v>2852</v>
      </c>
      <c r="D1184" s="617" t="s">
        <v>49</v>
      </c>
      <c r="E1184" s="617" t="s">
        <v>4854</v>
      </c>
      <c r="F1184" s="617" t="s">
        <v>24</v>
      </c>
      <c r="G1184" s="624"/>
      <c r="O1184" s="616"/>
      <c r="P1184" s="616"/>
      <c r="Q1184" s="616"/>
      <c r="AA1184" s="624"/>
      <c r="AB1184" s="663">
        <v>39049009383</v>
      </c>
      <c r="AC1184" s="663" t="s">
        <v>6116</v>
      </c>
      <c r="AD1184" s="663" t="s">
        <v>4950</v>
      </c>
      <c r="AE1184" s="663" t="s">
        <v>4939</v>
      </c>
      <c r="AF1184" s="663" t="s">
        <v>4946</v>
      </c>
    </row>
    <row r="1185" spans="1:32" s="608" customFormat="1" x14ac:dyDescent="0.25">
      <c r="A1185" s="624"/>
      <c r="B1185" s="617">
        <v>39049008242</v>
      </c>
      <c r="C1185" s="617" t="s">
        <v>2853</v>
      </c>
      <c r="D1185" s="617" t="s">
        <v>49</v>
      </c>
      <c r="E1185" s="617" t="s">
        <v>4854</v>
      </c>
      <c r="F1185" s="617" t="s">
        <v>26</v>
      </c>
      <c r="G1185" s="624"/>
      <c r="O1185" s="616"/>
      <c r="P1185" s="616"/>
      <c r="Q1185" s="616"/>
      <c r="AA1185" s="624"/>
      <c r="AB1185" s="663">
        <v>39049009384</v>
      </c>
      <c r="AC1185" s="663" t="s">
        <v>6117</v>
      </c>
      <c r="AD1185" s="663" t="s">
        <v>4950</v>
      </c>
      <c r="AE1185" s="663" t="s">
        <v>4942</v>
      </c>
      <c r="AF1185" s="663" t="s">
        <v>4946</v>
      </c>
    </row>
    <row r="1186" spans="1:32" s="608" customFormat="1" x14ac:dyDescent="0.25">
      <c r="A1186" s="624"/>
      <c r="B1186" s="617">
        <v>39049008311</v>
      </c>
      <c r="C1186" s="617" t="s">
        <v>2854</v>
      </c>
      <c r="D1186" s="617" t="s">
        <v>49</v>
      </c>
      <c r="E1186" s="617" t="s">
        <v>4854</v>
      </c>
      <c r="F1186" s="617" t="s">
        <v>24</v>
      </c>
      <c r="G1186" s="624"/>
      <c r="O1186" s="616"/>
      <c r="P1186" s="616"/>
      <c r="Q1186" s="616"/>
      <c r="AA1186" s="624"/>
      <c r="AB1186" s="663">
        <v>39049009385</v>
      </c>
      <c r="AC1186" s="663" t="s">
        <v>6118</v>
      </c>
      <c r="AD1186" s="663" t="s">
        <v>4948</v>
      </c>
      <c r="AE1186" s="663" t="s">
        <v>4934</v>
      </c>
      <c r="AF1186" s="663" t="s">
        <v>4946</v>
      </c>
    </row>
    <row r="1187" spans="1:32" s="608" customFormat="1" x14ac:dyDescent="0.25">
      <c r="A1187" s="624"/>
      <c r="B1187" s="617">
        <v>39049008312</v>
      </c>
      <c r="C1187" s="617" t="s">
        <v>2855</v>
      </c>
      <c r="D1187" s="617" t="s">
        <v>49</v>
      </c>
      <c r="E1187" s="617" t="s">
        <v>4854</v>
      </c>
      <c r="F1187" s="617" t="s">
        <v>24</v>
      </c>
      <c r="G1187" s="624"/>
      <c r="O1187" s="616"/>
      <c r="P1187" s="616"/>
      <c r="Q1187" s="616"/>
      <c r="AA1187" s="624"/>
      <c r="AB1187" s="663">
        <v>39049009386</v>
      </c>
      <c r="AC1187" s="663" t="s">
        <v>6119</v>
      </c>
      <c r="AD1187" s="663" t="s">
        <v>4927</v>
      </c>
      <c r="AE1187" s="663" t="s">
        <v>4931</v>
      </c>
      <c r="AF1187" s="663" t="s">
        <v>4946</v>
      </c>
    </row>
    <row r="1188" spans="1:32" s="608" customFormat="1" x14ac:dyDescent="0.25">
      <c r="A1188" s="624"/>
      <c r="B1188" s="617">
        <v>39049008321</v>
      </c>
      <c r="C1188" s="617" t="s">
        <v>2856</v>
      </c>
      <c r="D1188" s="617" t="s">
        <v>49</v>
      </c>
      <c r="E1188" s="617" t="s">
        <v>4854</v>
      </c>
      <c r="F1188" s="617" t="s">
        <v>26</v>
      </c>
      <c r="G1188" s="624"/>
      <c r="O1188" s="616"/>
      <c r="P1188" s="616"/>
      <c r="Q1188" s="616"/>
      <c r="AA1188" s="624"/>
      <c r="AB1188" s="663">
        <v>39049009390</v>
      </c>
      <c r="AC1188" s="663" t="s">
        <v>6120</v>
      </c>
      <c r="AD1188" s="663" t="s">
        <v>4948</v>
      </c>
      <c r="AE1188" s="663" t="s">
        <v>4931</v>
      </c>
      <c r="AF1188" s="663" t="s">
        <v>4946</v>
      </c>
    </row>
    <row r="1189" spans="1:32" s="608" customFormat="1" x14ac:dyDescent="0.25">
      <c r="A1189" s="624"/>
      <c r="B1189" s="617">
        <v>39049008322</v>
      </c>
      <c r="C1189" s="617" t="s">
        <v>2857</v>
      </c>
      <c r="D1189" s="617" t="s">
        <v>49</v>
      </c>
      <c r="E1189" s="617" t="s">
        <v>4854</v>
      </c>
      <c r="F1189" s="617" t="s">
        <v>24</v>
      </c>
      <c r="G1189" s="624"/>
      <c r="O1189" s="616"/>
      <c r="P1189" s="616"/>
      <c r="Q1189" s="616"/>
      <c r="AA1189" s="624"/>
      <c r="AB1189" s="663">
        <v>39049009410</v>
      </c>
      <c r="AC1189" s="663" t="s">
        <v>6121</v>
      </c>
      <c r="AD1189" s="663" t="s">
        <v>4950</v>
      </c>
      <c r="AE1189" s="663" t="s">
        <v>4939</v>
      </c>
      <c r="AF1189" s="663" t="s">
        <v>4946</v>
      </c>
    </row>
    <row r="1190" spans="1:32" s="608" customFormat="1" x14ac:dyDescent="0.25">
      <c r="A1190" s="624"/>
      <c r="B1190" s="617">
        <v>39049008330</v>
      </c>
      <c r="C1190" s="617" t="s">
        <v>2858</v>
      </c>
      <c r="D1190" s="617" t="s">
        <v>49</v>
      </c>
      <c r="E1190" s="617" t="s">
        <v>4854</v>
      </c>
      <c r="F1190" s="617" t="s">
        <v>24</v>
      </c>
      <c r="G1190" s="624"/>
      <c r="O1190" s="616"/>
      <c r="P1190" s="616"/>
      <c r="Q1190" s="616"/>
      <c r="AA1190" s="624"/>
      <c r="AB1190" s="663">
        <v>39049009420</v>
      </c>
      <c r="AC1190" s="663" t="s">
        <v>6122</v>
      </c>
      <c r="AD1190" s="663" t="s">
        <v>4927</v>
      </c>
      <c r="AE1190" s="663" t="s">
        <v>4928</v>
      </c>
      <c r="AF1190" s="663" t="s">
        <v>4946</v>
      </c>
    </row>
    <row r="1191" spans="1:32" s="608" customFormat="1" x14ac:dyDescent="0.25">
      <c r="A1191" s="624"/>
      <c r="B1191" s="617">
        <v>39049008340</v>
      </c>
      <c r="C1191" s="617" t="s">
        <v>2859</v>
      </c>
      <c r="D1191" s="617" t="s">
        <v>49</v>
      </c>
      <c r="E1191" s="617" t="s">
        <v>4854</v>
      </c>
      <c r="F1191" s="617" t="s">
        <v>26</v>
      </c>
      <c r="G1191" s="624"/>
      <c r="O1191" s="616"/>
      <c r="P1191" s="616"/>
      <c r="Q1191" s="616"/>
      <c r="AA1191" s="624"/>
      <c r="AB1191" s="663">
        <v>39049009430</v>
      </c>
      <c r="AC1191" s="663" t="s">
        <v>6123</v>
      </c>
      <c r="AD1191" s="663" t="s">
        <v>4950</v>
      </c>
      <c r="AE1191" s="663" t="s">
        <v>4942</v>
      </c>
      <c r="AF1191" s="663" t="s">
        <v>4946</v>
      </c>
    </row>
    <row r="1192" spans="1:32" s="608" customFormat="1" x14ac:dyDescent="0.25">
      <c r="A1192" s="624"/>
      <c r="B1192" s="617">
        <v>39049008350</v>
      </c>
      <c r="C1192" s="617" t="s">
        <v>2860</v>
      </c>
      <c r="D1192" s="617" t="s">
        <v>49</v>
      </c>
      <c r="E1192" s="617" t="s">
        <v>4854</v>
      </c>
      <c r="F1192" s="617" t="s">
        <v>24</v>
      </c>
      <c r="G1192" s="624"/>
      <c r="O1192" s="616"/>
      <c r="P1192" s="616"/>
      <c r="Q1192" s="616"/>
      <c r="AA1192" s="624"/>
      <c r="AB1192" s="663">
        <v>39049009440</v>
      </c>
      <c r="AC1192" s="663" t="s">
        <v>6124</v>
      </c>
      <c r="AD1192" s="663" t="s">
        <v>4948</v>
      </c>
      <c r="AE1192" s="663" t="s">
        <v>4942</v>
      </c>
      <c r="AF1192" s="663" t="s">
        <v>4946</v>
      </c>
    </row>
    <row r="1193" spans="1:32" s="608" customFormat="1" x14ac:dyDescent="0.25">
      <c r="A1193" s="624"/>
      <c r="B1193" s="617">
        <v>39049008360</v>
      </c>
      <c r="C1193" s="617" t="s">
        <v>2861</v>
      </c>
      <c r="D1193" s="617" t="s">
        <v>49</v>
      </c>
      <c r="E1193" s="617" t="s">
        <v>4854</v>
      </c>
      <c r="F1193" s="617" t="s">
        <v>26</v>
      </c>
      <c r="G1193" s="624"/>
      <c r="O1193" s="616"/>
      <c r="P1193" s="616"/>
      <c r="Q1193" s="616"/>
      <c r="AA1193" s="624"/>
      <c r="AB1193" s="663">
        <v>39049009450</v>
      </c>
      <c r="AC1193" s="663" t="s">
        <v>6125</v>
      </c>
      <c r="AD1193" s="663" t="s">
        <v>4948</v>
      </c>
      <c r="AE1193" s="663" t="s">
        <v>4931</v>
      </c>
      <c r="AF1193" s="663" t="s">
        <v>4946</v>
      </c>
    </row>
    <row r="1194" spans="1:32" s="608" customFormat="1" x14ac:dyDescent="0.25">
      <c r="A1194" s="624"/>
      <c r="B1194" s="617">
        <v>39049008380</v>
      </c>
      <c r="C1194" s="617" t="s">
        <v>2862</v>
      </c>
      <c r="D1194" s="617" t="s">
        <v>49</v>
      </c>
      <c r="E1194" s="617" t="s">
        <v>4854</v>
      </c>
      <c r="F1194" s="617" t="s">
        <v>26</v>
      </c>
      <c r="G1194" s="624"/>
      <c r="O1194" s="616"/>
      <c r="P1194" s="616"/>
      <c r="Q1194" s="616"/>
      <c r="AA1194" s="624"/>
      <c r="AB1194" s="663">
        <v>39049009495</v>
      </c>
      <c r="AC1194" s="663" t="s">
        <v>6126</v>
      </c>
      <c r="AD1194" s="663" t="s">
        <v>4950</v>
      </c>
      <c r="AE1194" s="663" t="s">
        <v>4942</v>
      </c>
      <c r="AF1194" s="663" t="s">
        <v>4946</v>
      </c>
    </row>
    <row r="1195" spans="1:32" s="608" customFormat="1" x14ac:dyDescent="0.25">
      <c r="A1195" s="624"/>
      <c r="B1195" s="617">
        <v>39049008381</v>
      </c>
      <c r="C1195" s="617" t="s">
        <v>2863</v>
      </c>
      <c r="D1195" s="617" t="s">
        <v>49</v>
      </c>
      <c r="E1195" s="617" t="s">
        <v>4854</v>
      </c>
      <c r="F1195" s="617" t="s">
        <v>26</v>
      </c>
      <c r="G1195" s="624"/>
      <c r="O1195" s="616"/>
      <c r="P1195" s="616"/>
      <c r="Q1195" s="616"/>
      <c r="AA1195" s="624"/>
      <c r="AB1195" s="663">
        <v>39049009497</v>
      </c>
      <c r="AC1195" s="663" t="s">
        <v>6127</v>
      </c>
      <c r="AD1195" s="663" t="s">
        <v>4941</v>
      </c>
      <c r="AE1195" s="663" t="s">
        <v>5006</v>
      </c>
      <c r="AF1195" s="663" t="s">
        <v>4929</v>
      </c>
    </row>
    <row r="1196" spans="1:32" s="608" customFormat="1" x14ac:dyDescent="0.25">
      <c r="A1196" s="624"/>
      <c r="B1196" s="617">
        <v>39049008382</v>
      </c>
      <c r="C1196" s="617" t="s">
        <v>2864</v>
      </c>
      <c r="D1196" s="617" t="s">
        <v>49</v>
      </c>
      <c r="E1196" s="617" t="s">
        <v>4854</v>
      </c>
      <c r="F1196" s="617" t="s">
        <v>26</v>
      </c>
      <c r="G1196" s="624"/>
      <c r="O1196" s="616"/>
      <c r="P1196" s="616"/>
      <c r="Q1196" s="616"/>
      <c r="AA1196" s="624"/>
      <c r="AB1196" s="663">
        <v>39049009520</v>
      </c>
      <c r="AC1196" s="663" t="s">
        <v>6128</v>
      </c>
      <c r="AD1196" s="663" t="s">
        <v>4950</v>
      </c>
      <c r="AE1196" s="663" t="s">
        <v>4939</v>
      </c>
      <c r="AF1196" s="663" t="s">
        <v>4946</v>
      </c>
    </row>
    <row r="1197" spans="1:32" s="608" customFormat="1" x14ac:dyDescent="0.25">
      <c r="A1197" s="624"/>
      <c r="B1197" s="617">
        <v>39049008400</v>
      </c>
      <c r="C1197" s="617" t="s">
        <v>2865</v>
      </c>
      <c r="D1197" s="617" t="s">
        <v>49</v>
      </c>
      <c r="E1197" s="617" t="s">
        <v>4854</v>
      </c>
      <c r="F1197" s="617" t="s">
        <v>26</v>
      </c>
      <c r="G1197" s="624"/>
      <c r="O1197" s="616"/>
      <c r="P1197" s="616"/>
      <c r="Q1197" s="616"/>
      <c r="AA1197" s="624"/>
      <c r="AB1197" s="663">
        <v>39049009590</v>
      </c>
      <c r="AC1197" s="663" t="s">
        <v>6129</v>
      </c>
      <c r="AD1197" s="663" t="s">
        <v>4941</v>
      </c>
      <c r="AE1197" s="663" t="s">
        <v>4942</v>
      </c>
      <c r="AF1197" s="663" t="s">
        <v>4929</v>
      </c>
    </row>
    <row r="1198" spans="1:32" s="608" customFormat="1" x14ac:dyDescent="0.25">
      <c r="A1198" s="624"/>
      <c r="B1198" s="617">
        <v>39049008500</v>
      </c>
      <c r="C1198" s="617" t="s">
        <v>2866</v>
      </c>
      <c r="D1198" s="617" t="s">
        <v>49</v>
      </c>
      <c r="E1198" s="617" t="s">
        <v>4854</v>
      </c>
      <c r="F1198" s="617" t="s">
        <v>26</v>
      </c>
      <c r="G1198" s="624"/>
      <c r="O1198" s="616"/>
      <c r="P1198" s="616"/>
      <c r="Q1198" s="616"/>
      <c r="AA1198" s="624"/>
      <c r="AB1198" s="663">
        <v>39049009600</v>
      </c>
      <c r="AC1198" s="663" t="s">
        <v>6130</v>
      </c>
      <c r="AD1198" s="663" t="s">
        <v>4948</v>
      </c>
      <c r="AE1198" s="663" t="s">
        <v>4939</v>
      </c>
      <c r="AF1198" s="663" t="s">
        <v>4946</v>
      </c>
    </row>
    <row r="1199" spans="1:32" s="608" customFormat="1" x14ac:dyDescent="0.25">
      <c r="A1199" s="624"/>
      <c r="B1199" s="617">
        <v>39049008710</v>
      </c>
      <c r="C1199" s="617" t="s">
        <v>2867</v>
      </c>
      <c r="D1199" s="617" t="s">
        <v>49</v>
      </c>
      <c r="E1199" s="617" t="s">
        <v>4854</v>
      </c>
      <c r="F1199" s="617" t="s">
        <v>26</v>
      </c>
      <c r="G1199" s="624"/>
      <c r="O1199" s="616"/>
      <c r="P1199" s="616"/>
      <c r="Q1199" s="616"/>
      <c r="AA1199" s="624"/>
      <c r="AB1199" s="663">
        <v>39049009711</v>
      </c>
      <c r="AC1199" s="663" t="s">
        <v>6131</v>
      </c>
      <c r="AD1199" s="663" t="s">
        <v>4948</v>
      </c>
      <c r="AE1199" s="663" t="s">
        <v>4931</v>
      </c>
      <c r="AF1199" s="663" t="s">
        <v>4946</v>
      </c>
    </row>
    <row r="1200" spans="1:32" s="608" customFormat="1" x14ac:dyDescent="0.25">
      <c r="A1200" s="624"/>
      <c r="B1200" s="617">
        <v>39049008720</v>
      </c>
      <c r="C1200" s="617" t="s">
        <v>2868</v>
      </c>
      <c r="D1200" s="617" t="s">
        <v>49</v>
      </c>
      <c r="E1200" s="617" t="s">
        <v>4854</v>
      </c>
      <c r="F1200" s="617" t="s">
        <v>24</v>
      </c>
      <c r="G1200" s="624"/>
      <c r="O1200" s="616"/>
      <c r="P1200" s="616"/>
      <c r="Q1200" s="616"/>
      <c r="AA1200" s="624"/>
      <c r="AB1200" s="663">
        <v>39049009712</v>
      </c>
      <c r="AC1200" s="663" t="s">
        <v>6132</v>
      </c>
      <c r="AD1200" s="663" t="s">
        <v>4948</v>
      </c>
      <c r="AE1200" s="663" t="s">
        <v>4942</v>
      </c>
      <c r="AF1200" s="663" t="s">
        <v>4946</v>
      </c>
    </row>
    <row r="1201" spans="1:32" s="608" customFormat="1" x14ac:dyDescent="0.25">
      <c r="A1201" s="624"/>
      <c r="B1201" s="617">
        <v>39049008730</v>
      </c>
      <c r="C1201" s="617" t="s">
        <v>2869</v>
      </c>
      <c r="D1201" s="617" t="s">
        <v>49</v>
      </c>
      <c r="E1201" s="617" t="s">
        <v>4854</v>
      </c>
      <c r="F1201" s="617" t="s">
        <v>24</v>
      </c>
      <c r="G1201" s="624"/>
      <c r="O1201" s="616"/>
      <c r="P1201" s="616"/>
      <c r="Q1201" s="616"/>
      <c r="AA1201" s="624"/>
      <c r="AB1201" s="663">
        <v>39049009720</v>
      </c>
      <c r="AC1201" s="663" t="s">
        <v>6133</v>
      </c>
      <c r="AD1201" s="663" t="s">
        <v>4948</v>
      </c>
      <c r="AE1201" s="663" t="s">
        <v>4942</v>
      </c>
      <c r="AF1201" s="663" t="s">
        <v>4946</v>
      </c>
    </row>
    <row r="1202" spans="1:32" s="608" customFormat="1" x14ac:dyDescent="0.25">
      <c r="A1202" s="624"/>
      <c r="B1202" s="617">
        <v>39049008811</v>
      </c>
      <c r="C1202" s="617" t="s">
        <v>2870</v>
      </c>
      <c r="D1202" s="617" t="s">
        <v>49</v>
      </c>
      <c r="E1202" s="617" t="s">
        <v>4854</v>
      </c>
      <c r="F1202" s="617" t="s">
        <v>24</v>
      </c>
      <c r="G1202" s="624"/>
      <c r="O1202" s="616"/>
      <c r="P1202" s="616"/>
      <c r="Q1202" s="616"/>
      <c r="AA1202" s="624"/>
      <c r="AB1202" s="663">
        <v>39049009740</v>
      </c>
      <c r="AC1202" s="663" t="s">
        <v>6134</v>
      </c>
      <c r="AD1202" s="663" t="s">
        <v>4938</v>
      </c>
      <c r="AE1202" s="663" t="s">
        <v>4939</v>
      </c>
      <c r="AF1202" s="663" t="s">
        <v>4946</v>
      </c>
    </row>
    <row r="1203" spans="1:32" s="608" customFormat="1" x14ac:dyDescent="0.25">
      <c r="A1203" s="624"/>
      <c r="B1203" s="617">
        <v>39049008812</v>
      </c>
      <c r="C1203" s="617" t="s">
        <v>2871</v>
      </c>
      <c r="D1203" s="617" t="s">
        <v>49</v>
      </c>
      <c r="E1203" s="617" t="s">
        <v>4854</v>
      </c>
      <c r="F1203" s="617" t="s">
        <v>26</v>
      </c>
      <c r="G1203" s="624"/>
      <c r="O1203" s="616"/>
      <c r="P1203" s="616"/>
      <c r="Q1203" s="616"/>
      <c r="AA1203" s="624"/>
      <c r="AB1203" s="663">
        <v>39049009751</v>
      </c>
      <c r="AC1203" s="663" t="s">
        <v>6135</v>
      </c>
      <c r="AD1203" s="663" t="s">
        <v>4938</v>
      </c>
      <c r="AE1203" s="663" t="s">
        <v>4931</v>
      </c>
      <c r="AF1203" s="663" t="s">
        <v>4946</v>
      </c>
    </row>
    <row r="1204" spans="1:32" s="608" customFormat="1" x14ac:dyDescent="0.25">
      <c r="A1204" s="624"/>
      <c r="B1204" s="617">
        <v>39049008813</v>
      </c>
      <c r="C1204" s="617" t="s">
        <v>2872</v>
      </c>
      <c r="D1204" s="617" t="s">
        <v>49</v>
      </c>
      <c r="E1204" s="617" t="s">
        <v>4854</v>
      </c>
      <c r="F1204" s="617" t="s">
        <v>24</v>
      </c>
      <c r="G1204" s="624"/>
      <c r="O1204" s="616"/>
      <c r="P1204" s="616"/>
      <c r="Q1204" s="616"/>
      <c r="AA1204" s="624"/>
      <c r="AB1204" s="663">
        <v>39049009752</v>
      </c>
      <c r="AC1204" s="663" t="s">
        <v>6136</v>
      </c>
      <c r="AD1204" s="663" t="s">
        <v>4938</v>
      </c>
      <c r="AE1204" s="663" t="s">
        <v>4939</v>
      </c>
      <c r="AF1204" s="663" t="s">
        <v>4946</v>
      </c>
    </row>
    <row r="1205" spans="1:32" s="608" customFormat="1" x14ac:dyDescent="0.25">
      <c r="A1205" s="624"/>
      <c r="B1205" s="617">
        <v>39049008821</v>
      </c>
      <c r="C1205" s="617" t="s">
        <v>2873</v>
      </c>
      <c r="D1205" s="617" t="s">
        <v>49</v>
      </c>
      <c r="E1205" s="617" t="s">
        <v>4854</v>
      </c>
      <c r="F1205" s="617" t="s">
        <v>24</v>
      </c>
      <c r="G1205" s="624"/>
      <c r="O1205" s="616"/>
      <c r="P1205" s="616"/>
      <c r="Q1205" s="616"/>
      <c r="AA1205" s="624"/>
      <c r="AB1205" s="663">
        <v>39049009800</v>
      </c>
      <c r="AC1205" s="663" t="s">
        <v>6137</v>
      </c>
      <c r="AD1205" s="663" t="s">
        <v>4948</v>
      </c>
      <c r="AE1205" s="663" t="s">
        <v>4942</v>
      </c>
      <c r="AF1205" s="663" t="s">
        <v>4929</v>
      </c>
    </row>
    <row r="1206" spans="1:32" s="608" customFormat="1" x14ac:dyDescent="0.25">
      <c r="A1206" s="624"/>
      <c r="B1206" s="617">
        <v>39049008822</v>
      </c>
      <c r="C1206" s="617" t="s">
        <v>2874</v>
      </c>
      <c r="D1206" s="617" t="s">
        <v>49</v>
      </c>
      <c r="E1206" s="617" t="s">
        <v>4854</v>
      </c>
      <c r="F1206" s="617" t="s">
        <v>24</v>
      </c>
      <c r="G1206" s="624"/>
      <c r="O1206" s="616"/>
      <c r="P1206" s="616"/>
      <c r="Q1206" s="616"/>
      <c r="AA1206" s="624"/>
      <c r="AB1206" s="663">
        <v>39049009900</v>
      </c>
      <c r="AC1206" s="663" t="s">
        <v>6138</v>
      </c>
      <c r="AD1206" s="663" t="s">
        <v>4927</v>
      </c>
      <c r="AE1206" s="663" t="s">
        <v>4928</v>
      </c>
      <c r="AF1206" s="663" t="s">
        <v>4946</v>
      </c>
    </row>
    <row r="1207" spans="1:32" s="608" customFormat="1" x14ac:dyDescent="0.25">
      <c r="A1207" s="624"/>
      <c r="B1207" s="617">
        <v>39049008825</v>
      </c>
      <c r="C1207" s="617" t="s">
        <v>2875</v>
      </c>
      <c r="D1207" s="617" t="s">
        <v>49</v>
      </c>
      <c r="E1207" s="617" t="s">
        <v>4854</v>
      </c>
      <c r="F1207" s="617" t="s">
        <v>26</v>
      </c>
      <c r="G1207" s="624"/>
      <c r="O1207" s="616"/>
      <c r="P1207" s="616"/>
      <c r="Q1207" s="616"/>
      <c r="AA1207" s="624"/>
      <c r="AB1207" s="663">
        <v>39049010000</v>
      </c>
      <c r="AC1207" s="663" t="s">
        <v>6139</v>
      </c>
      <c r="AD1207" s="663" t="s">
        <v>4941</v>
      </c>
      <c r="AE1207" s="663" t="s">
        <v>4939</v>
      </c>
      <c r="AF1207" s="663" t="s">
        <v>4946</v>
      </c>
    </row>
    <row r="1208" spans="1:32" s="608" customFormat="1" x14ac:dyDescent="0.25">
      <c r="A1208" s="624"/>
      <c r="B1208" s="617">
        <v>39049008900</v>
      </c>
      <c r="C1208" s="617" t="s">
        <v>2876</v>
      </c>
      <c r="D1208" s="617" t="s">
        <v>49</v>
      </c>
      <c r="E1208" s="617" t="s">
        <v>4854</v>
      </c>
      <c r="F1208" s="617" t="s">
        <v>26</v>
      </c>
      <c r="G1208" s="624"/>
      <c r="O1208" s="616"/>
      <c r="P1208" s="616"/>
      <c r="Q1208" s="616"/>
      <c r="AA1208" s="624"/>
      <c r="AB1208" s="663">
        <v>39049010100</v>
      </c>
      <c r="AC1208" s="663" t="s">
        <v>6140</v>
      </c>
      <c r="AD1208" s="663" t="s">
        <v>4938</v>
      </c>
      <c r="AE1208" s="663" t="s">
        <v>4939</v>
      </c>
      <c r="AF1208" s="663" t="s">
        <v>4946</v>
      </c>
    </row>
    <row r="1209" spans="1:32" s="608" customFormat="1" x14ac:dyDescent="0.25">
      <c r="A1209" s="624"/>
      <c r="B1209" s="617">
        <v>39049009000</v>
      </c>
      <c r="C1209" s="617" t="s">
        <v>2877</v>
      </c>
      <c r="D1209" s="617" t="s">
        <v>49</v>
      </c>
      <c r="E1209" s="617" t="s">
        <v>4854</v>
      </c>
      <c r="F1209" s="617" t="s">
        <v>26</v>
      </c>
      <c r="G1209" s="624"/>
      <c r="O1209" s="616"/>
      <c r="P1209" s="616"/>
      <c r="Q1209" s="616"/>
      <c r="AA1209" s="624"/>
      <c r="AB1209" s="663">
        <v>39049010200</v>
      </c>
      <c r="AC1209" s="663" t="s">
        <v>6141</v>
      </c>
      <c r="AD1209" s="663" t="s">
        <v>4950</v>
      </c>
      <c r="AE1209" s="663" t="s">
        <v>4931</v>
      </c>
      <c r="AF1209" s="663" t="s">
        <v>4946</v>
      </c>
    </row>
    <row r="1210" spans="1:32" s="608" customFormat="1" x14ac:dyDescent="0.25">
      <c r="A1210" s="624"/>
      <c r="B1210" s="617">
        <v>39049009100</v>
      </c>
      <c r="C1210" s="617" t="s">
        <v>2878</v>
      </c>
      <c r="D1210" s="617" t="s">
        <v>49</v>
      </c>
      <c r="E1210" s="617" t="s">
        <v>4854</v>
      </c>
      <c r="F1210" s="617" t="s">
        <v>26</v>
      </c>
      <c r="G1210" s="624"/>
      <c r="O1210" s="616"/>
      <c r="P1210" s="616"/>
      <c r="Q1210" s="616"/>
      <c r="AA1210" s="624"/>
      <c r="AB1210" s="663">
        <v>39049010300</v>
      </c>
      <c r="AC1210" s="663" t="s">
        <v>6142</v>
      </c>
      <c r="AD1210" s="663" t="s">
        <v>4927</v>
      </c>
      <c r="AE1210" s="663" t="s">
        <v>4931</v>
      </c>
      <c r="AF1210" s="663" t="s">
        <v>4946</v>
      </c>
    </row>
    <row r="1211" spans="1:32" s="608" customFormat="1" x14ac:dyDescent="0.25">
      <c r="A1211" s="624"/>
      <c r="B1211" s="617">
        <v>39049009220</v>
      </c>
      <c r="C1211" s="617" t="s">
        <v>2879</v>
      </c>
      <c r="D1211" s="617" t="s">
        <v>49</v>
      </c>
      <c r="E1211" s="617" t="s">
        <v>4854</v>
      </c>
      <c r="F1211" s="617" t="s">
        <v>24</v>
      </c>
      <c r="G1211" s="624"/>
      <c r="O1211" s="616"/>
      <c r="P1211" s="616"/>
      <c r="Q1211" s="616"/>
      <c r="AA1211" s="624"/>
      <c r="AB1211" s="663">
        <v>39049010400</v>
      </c>
      <c r="AC1211" s="663" t="s">
        <v>6143</v>
      </c>
      <c r="AD1211" s="663" t="s">
        <v>4938</v>
      </c>
      <c r="AE1211" s="663" t="s">
        <v>4934</v>
      </c>
      <c r="AF1211" s="663" t="s">
        <v>4946</v>
      </c>
    </row>
    <row r="1212" spans="1:32" s="608" customFormat="1" x14ac:dyDescent="0.25">
      <c r="A1212" s="624"/>
      <c r="B1212" s="617">
        <v>39049009230</v>
      </c>
      <c r="C1212" s="617" t="s">
        <v>2880</v>
      </c>
      <c r="D1212" s="617" t="s">
        <v>49</v>
      </c>
      <c r="E1212" s="617" t="s">
        <v>4854</v>
      </c>
      <c r="F1212" s="617" t="s">
        <v>24</v>
      </c>
      <c r="G1212" s="624"/>
      <c r="O1212" s="616"/>
      <c r="P1212" s="616"/>
      <c r="Q1212" s="616"/>
      <c r="AA1212" s="624"/>
      <c r="AB1212" s="663">
        <v>39049010500</v>
      </c>
      <c r="AC1212" s="663" t="s">
        <v>6144</v>
      </c>
      <c r="AD1212" s="663" t="s">
        <v>4938</v>
      </c>
      <c r="AE1212" s="663" t="s">
        <v>4942</v>
      </c>
      <c r="AF1212" s="663" t="s">
        <v>4946</v>
      </c>
    </row>
    <row r="1213" spans="1:32" s="608" customFormat="1" x14ac:dyDescent="0.25">
      <c r="A1213" s="624"/>
      <c r="B1213" s="617">
        <v>39049009240</v>
      </c>
      <c r="C1213" s="617" t="s">
        <v>2881</v>
      </c>
      <c r="D1213" s="617" t="s">
        <v>49</v>
      </c>
      <c r="E1213" s="617" t="s">
        <v>4854</v>
      </c>
      <c r="F1213" s="617" t="s">
        <v>26</v>
      </c>
      <c r="G1213" s="624"/>
      <c r="O1213" s="616"/>
      <c r="P1213" s="616"/>
      <c r="Q1213" s="616"/>
      <c r="AA1213" s="624"/>
      <c r="AB1213" s="663">
        <v>39049010601</v>
      </c>
      <c r="AC1213" s="663" t="s">
        <v>6145</v>
      </c>
      <c r="AD1213" s="663" t="s">
        <v>4938</v>
      </c>
      <c r="AE1213" s="663" t="s">
        <v>4934</v>
      </c>
      <c r="AF1213" s="663" t="s">
        <v>4946</v>
      </c>
    </row>
    <row r="1214" spans="1:32" s="608" customFormat="1" x14ac:dyDescent="0.25">
      <c r="A1214" s="624"/>
      <c r="B1214" s="617">
        <v>39049009250</v>
      </c>
      <c r="C1214" s="617" t="s">
        <v>2882</v>
      </c>
      <c r="D1214" s="617" t="s">
        <v>49</v>
      </c>
      <c r="E1214" s="617" t="s">
        <v>4854</v>
      </c>
      <c r="F1214" s="617" t="s">
        <v>26</v>
      </c>
      <c r="G1214" s="624"/>
      <c r="O1214" s="616"/>
      <c r="P1214" s="616"/>
      <c r="Q1214" s="616"/>
      <c r="AA1214" s="624"/>
      <c r="AB1214" s="663">
        <v>39049010602</v>
      </c>
      <c r="AC1214" s="663" t="s">
        <v>6146</v>
      </c>
      <c r="AD1214" s="663" t="s">
        <v>4941</v>
      </c>
      <c r="AE1214" s="663" t="s">
        <v>4934</v>
      </c>
      <c r="AF1214" s="663" t="s">
        <v>4946</v>
      </c>
    </row>
    <row r="1215" spans="1:32" s="608" customFormat="1" x14ac:dyDescent="0.25">
      <c r="A1215" s="624"/>
      <c r="B1215" s="617">
        <v>39049009251</v>
      </c>
      <c r="C1215" s="617" t="s">
        <v>2883</v>
      </c>
      <c r="D1215" s="617" t="s">
        <v>49</v>
      </c>
      <c r="E1215" s="617" t="s">
        <v>4854</v>
      </c>
      <c r="F1215" s="617" t="s">
        <v>26</v>
      </c>
      <c r="G1215" s="624"/>
      <c r="O1215" s="616"/>
      <c r="P1215" s="616"/>
      <c r="Q1215" s="616"/>
      <c r="AA1215" s="624"/>
      <c r="AB1215" s="663">
        <v>39049010700</v>
      </c>
      <c r="AC1215" s="663" t="s">
        <v>6147</v>
      </c>
      <c r="AD1215" s="663" t="s">
        <v>4948</v>
      </c>
      <c r="AE1215" s="663" t="s">
        <v>4934</v>
      </c>
      <c r="AF1215" s="663" t="s">
        <v>4946</v>
      </c>
    </row>
    <row r="1216" spans="1:32" s="608" customFormat="1" x14ac:dyDescent="0.25">
      <c r="A1216" s="624"/>
      <c r="B1216" s="617">
        <v>39049009252</v>
      </c>
      <c r="C1216" s="617" t="s">
        <v>2884</v>
      </c>
      <c r="D1216" s="617" t="s">
        <v>49</v>
      </c>
      <c r="E1216" s="617" t="s">
        <v>4854</v>
      </c>
      <c r="F1216" s="617" t="s">
        <v>24</v>
      </c>
      <c r="G1216" s="624"/>
      <c r="O1216" s="616"/>
      <c r="P1216" s="616"/>
      <c r="Q1216" s="616"/>
      <c r="AA1216" s="624"/>
      <c r="AB1216" s="663">
        <v>39049980000</v>
      </c>
      <c r="AC1216" s="663" t="s">
        <v>6148</v>
      </c>
      <c r="AD1216" s="663"/>
      <c r="AE1216" s="663" t="s">
        <v>5237</v>
      </c>
      <c r="AF1216" s="663" t="s">
        <v>4946</v>
      </c>
    </row>
    <row r="1217" spans="1:32" s="608" customFormat="1" x14ac:dyDescent="0.25">
      <c r="A1217" s="624"/>
      <c r="B1217" s="617">
        <v>39049009311</v>
      </c>
      <c r="C1217" s="617" t="s">
        <v>2885</v>
      </c>
      <c r="D1217" s="617" t="s">
        <v>49</v>
      </c>
      <c r="E1217" s="617" t="s">
        <v>4854</v>
      </c>
      <c r="F1217" s="617" t="s">
        <v>24</v>
      </c>
      <c r="G1217" s="624"/>
      <c r="O1217" s="616"/>
      <c r="P1217" s="616"/>
      <c r="Q1217" s="616"/>
      <c r="AA1217" s="624"/>
      <c r="AB1217" s="663">
        <v>39051040100</v>
      </c>
      <c r="AC1217" s="663" t="s">
        <v>6149</v>
      </c>
      <c r="AD1217" s="663" t="s">
        <v>4941</v>
      </c>
      <c r="AE1217" s="663" t="s">
        <v>4928</v>
      </c>
      <c r="AF1217" s="663" t="s">
        <v>4929</v>
      </c>
    </row>
    <row r="1218" spans="1:32" s="608" customFormat="1" x14ac:dyDescent="0.25">
      <c r="A1218" s="624"/>
      <c r="B1218" s="617">
        <v>39049009312</v>
      </c>
      <c r="C1218" s="617" t="s">
        <v>2886</v>
      </c>
      <c r="D1218" s="617" t="s">
        <v>49</v>
      </c>
      <c r="E1218" s="617" t="s">
        <v>4854</v>
      </c>
      <c r="F1218" s="617" t="s">
        <v>24</v>
      </c>
      <c r="G1218" s="624"/>
      <c r="O1218" s="616"/>
      <c r="P1218" s="616"/>
      <c r="Q1218" s="616"/>
      <c r="AA1218" s="624"/>
      <c r="AB1218" s="663">
        <v>39051040200</v>
      </c>
      <c r="AC1218" s="663" t="s">
        <v>6150</v>
      </c>
      <c r="AD1218" s="663" t="s">
        <v>4950</v>
      </c>
      <c r="AE1218" s="663" t="s">
        <v>4939</v>
      </c>
      <c r="AF1218" s="663" t="s">
        <v>4946</v>
      </c>
    </row>
    <row r="1219" spans="1:32" s="608" customFormat="1" x14ac:dyDescent="0.25">
      <c r="A1219" s="624"/>
      <c r="B1219" s="617">
        <v>39049009321</v>
      </c>
      <c r="C1219" s="617" t="s">
        <v>2887</v>
      </c>
      <c r="D1219" s="617" t="s">
        <v>49</v>
      </c>
      <c r="E1219" s="617" t="s">
        <v>4854</v>
      </c>
      <c r="F1219" s="617" t="s">
        <v>24</v>
      </c>
      <c r="G1219" s="624"/>
      <c r="O1219" s="616"/>
      <c r="P1219" s="616"/>
      <c r="Q1219" s="616"/>
      <c r="AA1219" s="624"/>
      <c r="AB1219" s="663">
        <v>39051040300</v>
      </c>
      <c r="AC1219" s="663" t="s">
        <v>6151</v>
      </c>
      <c r="AD1219" s="663" t="s">
        <v>4948</v>
      </c>
      <c r="AE1219" s="663" t="s">
        <v>4928</v>
      </c>
      <c r="AF1219" s="663" t="s">
        <v>4929</v>
      </c>
    </row>
    <row r="1220" spans="1:32" s="608" customFormat="1" x14ac:dyDescent="0.25">
      <c r="A1220" s="624"/>
      <c r="B1220" s="617">
        <v>39049009322</v>
      </c>
      <c r="C1220" s="617" t="s">
        <v>2888</v>
      </c>
      <c r="D1220" s="617" t="s">
        <v>49</v>
      </c>
      <c r="E1220" s="617" t="s">
        <v>4854</v>
      </c>
      <c r="F1220" s="617" t="s">
        <v>26</v>
      </c>
      <c r="G1220" s="624"/>
      <c r="O1220" s="616"/>
      <c r="P1220" s="616"/>
      <c r="Q1220" s="616"/>
      <c r="AA1220" s="624"/>
      <c r="AB1220" s="663">
        <v>39051040400</v>
      </c>
      <c r="AC1220" s="663" t="s">
        <v>6152</v>
      </c>
      <c r="AD1220" s="663" t="s">
        <v>4941</v>
      </c>
      <c r="AE1220" s="663" t="s">
        <v>4939</v>
      </c>
      <c r="AF1220" s="663" t="s">
        <v>4929</v>
      </c>
    </row>
    <row r="1221" spans="1:32" s="608" customFormat="1" x14ac:dyDescent="0.25">
      <c r="A1221" s="624"/>
      <c r="B1221" s="617">
        <v>39049009323</v>
      </c>
      <c r="C1221" s="617" t="s">
        <v>2889</v>
      </c>
      <c r="D1221" s="617" t="s">
        <v>49</v>
      </c>
      <c r="E1221" s="617" t="s">
        <v>4854</v>
      </c>
      <c r="F1221" s="617" t="s">
        <v>24</v>
      </c>
      <c r="G1221" s="624"/>
      <c r="O1221" s="616"/>
      <c r="P1221" s="616"/>
      <c r="Q1221" s="616"/>
      <c r="AA1221" s="624"/>
      <c r="AB1221" s="663">
        <v>39051040500</v>
      </c>
      <c r="AC1221" s="663" t="s">
        <v>6153</v>
      </c>
      <c r="AD1221" s="663" t="s">
        <v>4941</v>
      </c>
      <c r="AE1221" s="663" t="s">
        <v>4928</v>
      </c>
      <c r="AF1221" s="663" t="s">
        <v>4929</v>
      </c>
    </row>
    <row r="1222" spans="1:32" s="608" customFormat="1" x14ac:dyDescent="0.25">
      <c r="A1222" s="624"/>
      <c r="B1222" s="617">
        <v>39049009325</v>
      </c>
      <c r="C1222" s="617" t="s">
        <v>2890</v>
      </c>
      <c r="D1222" s="617" t="s">
        <v>49</v>
      </c>
      <c r="E1222" s="617" t="s">
        <v>4854</v>
      </c>
      <c r="F1222" s="617" t="s">
        <v>24</v>
      </c>
      <c r="G1222" s="624"/>
      <c r="O1222" s="616"/>
      <c r="P1222" s="616"/>
      <c r="Q1222" s="616"/>
      <c r="AA1222" s="624"/>
      <c r="AB1222" s="663">
        <v>39051040600</v>
      </c>
      <c r="AC1222" s="663" t="s">
        <v>6154</v>
      </c>
      <c r="AD1222" s="663" t="s">
        <v>4941</v>
      </c>
      <c r="AE1222" s="663" t="s">
        <v>4934</v>
      </c>
      <c r="AF1222" s="663" t="s">
        <v>4929</v>
      </c>
    </row>
    <row r="1223" spans="1:32" s="608" customFormat="1" x14ac:dyDescent="0.25">
      <c r="A1223" s="624"/>
      <c r="B1223" s="617">
        <v>39049009326</v>
      </c>
      <c r="C1223" s="617" t="s">
        <v>2891</v>
      </c>
      <c r="D1223" s="617" t="s">
        <v>49</v>
      </c>
      <c r="E1223" s="617" t="s">
        <v>4854</v>
      </c>
      <c r="F1223" s="617" t="s">
        <v>24</v>
      </c>
      <c r="G1223" s="624"/>
      <c r="O1223" s="616"/>
      <c r="P1223" s="616"/>
      <c r="Q1223" s="616"/>
      <c r="AA1223" s="624"/>
      <c r="AB1223" s="663">
        <v>39051040700</v>
      </c>
      <c r="AC1223" s="663" t="s">
        <v>6155</v>
      </c>
      <c r="AD1223" s="663" t="s">
        <v>4941</v>
      </c>
      <c r="AE1223" s="663" t="s">
        <v>4942</v>
      </c>
      <c r="AF1223" s="663" t="s">
        <v>4929</v>
      </c>
    </row>
    <row r="1224" spans="1:32" s="608" customFormat="1" x14ac:dyDescent="0.25">
      <c r="A1224" s="624"/>
      <c r="B1224" s="617">
        <v>39049009332</v>
      </c>
      <c r="C1224" s="617" t="s">
        <v>2892</v>
      </c>
      <c r="D1224" s="617" t="s">
        <v>49</v>
      </c>
      <c r="E1224" s="617" t="s">
        <v>4854</v>
      </c>
      <c r="F1224" s="617" t="s">
        <v>26</v>
      </c>
      <c r="G1224" s="624"/>
      <c r="O1224" s="616"/>
      <c r="P1224" s="616"/>
      <c r="Q1224" s="616"/>
      <c r="AA1224" s="624"/>
      <c r="AB1224" s="663">
        <v>39051040800</v>
      </c>
      <c r="AC1224" s="663" t="s">
        <v>6156</v>
      </c>
      <c r="AD1224" s="663" t="s">
        <v>4941</v>
      </c>
      <c r="AE1224" s="663" t="s">
        <v>4939</v>
      </c>
      <c r="AF1224" s="663" t="s">
        <v>4929</v>
      </c>
    </row>
    <row r="1225" spans="1:32" s="608" customFormat="1" x14ac:dyDescent="0.25">
      <c r="A1225" s="624"/>
      <c r="B1225" s="617">
        <v>39049009334</v>
      </c>
      <c r="C1225" s="617" t="s">
        <v>2893</v>
      </c>
      <c r="D1225" s="617" t="s">
        <v>49</v>
      </c>
      <c r="E1225" s="617" t="s">
        <v>4854</v>
      </c>
      <c r="F1225" s="617" t="s">
        <v>26</v>
      </c>
      <c r="G1225" s="624"/>
      <c r="O1225" s="616"/>
      <c r="P1225" s="616"/>
      <c r="Q1225" s="616"/>
      <c r="AA1225" s="624"/>
      <c r="AB1225" s="663">
        <v>39051040900</v>
      </c>
      <c r="AC1225" s="663" t="s">
        <v>6157</v>
      </c>
      <c r="AD1225" s="663" t="s">
        <v>4938</v>
      </c>
      <c r="AE1225" s="663" t="s">
        <v>4942</v>
      </c>
      <c r="AF1225" s="663" t="s">
        <v>4929</v>
      </c>
    </row>
    <row r="1226" spans="1:32" s="608" customFormat="1" x14ac:dyDescent="0.25">
      <c r="A1226" s="624"/>
      <c r="B1226" s="617">
        <v>39049009336</v>
      </c>
      <c r="C1226" s="617" t="s">
        <v>2894</v>
      </c>
      <c r="D1226" s="617" t="s">
        <v>49</v>
      </c>
      <c r="E1226" s="617" t="s">
        <v>4854</v>
      </c>
      <c r="F1226" s="617" t="s">
        <v>24</v>
      </c>
      <c r="G1226" s="624"/>
      <c r="O1226" s="616"/>
      <c r="P1226" s="616"/>
      <c r="Q1226" s="616"/>
      <c r="AA1226" s="624"/>
      <c r="AB1226" s="663">
        <v>39053953500</v>
      </c>
      <c r="AC1226" s="663" t="s">
        <v>6158</v>
      </c>
      <c r="AD1226" s="663" t="s">
        <v>4927</v>
      </c>
      <c r="AE1226" s="663" t="s">
        <v>4939</v>
      </c>
      <c r="AF1226" s="663" t="s">
        <v>4929</v>
      </c>
    </row>
    <row r="1227" spans="1:32" s="608" customFormat="1" x14ac:dyDescent="0.25">
      <c r="A1227" s="624"/>
      <c r="B1227" s="617">
        <v>39049009337</v>
      </c>
      <c r="C1227" s="617" t="s">
        <v>2895</v>
      </c>
      <c r="D1227" s="617" t="s">
        <v>49</v>
      </c>
      <c r="E1227" s="617" t="s">
        <v>4854</v>
      </c>
      <c r="F1227" s="617" t="s">
        <v>24</v>
      </c>
      <c r="G1227" s="624"/>
      <c r="O1227" s="616"/>
      <c r="P1227" s="616"/>
      <c r="Q1227" s="616"/>
      <c r="AA1227" s="624"/>
      <c r="AB1227" s="663">
        <v>39053953600</v>
      </c>
      <c r="AC1227" s="663" t="s">
        <v>6159</v>
      </c>
      <c r="AD1227" s="663" t="s">
        <v>4927</v>
      </c>
      <c r="AE1227" s="663" t="s">
        <v>4942</v>
      </c>
      <c r="AF1227" s="663" t="s">
        <v>4929</v>
      </c>
    </row>
    <row r="1228" spans="1:32" s="608" customFormat="1" x14ac:dyDescent="0.25">
      <c r="A1228" s="624"/>
      <c r="B1228" s="617">
        <v>39049009340</v>
      </c>
      <c r="C1228" s="617" t="s">
        <v>2896</v>
      </c>
      <c r="D1228" s="617" t="s">
        <v>49</v>
      </c>
      <c r="E1228" s="617" t="s">
        <v>4854</v>
      </c>
      <c r="F1228" s="617" t="s">
        <v>24</v>
      </c>
      <c r="G1228" s="624"/>
      <c r="O1228" s="616"/>
      <c r="P1228" s="616"/>
      <c r="Q1228" s="616"/>
      <c r="AA1228" s="624"/>
      <c r="AB1228" s="663">
        <v>39053953700</v>
      </c>
      <c r="AC1228" s="663" t="s">
        <v>6160</v>
      </c>
      <c r="AD1228" s="663" t="s">
        <v>4927</v>
      </c>
      <c r="AE1228" s="663" t="s">
        <v>4931</v>
      </c>
      <c r="AF1228" s="663" t="s">
        <v>4929</v>
      </c>
    </row>
    <row r="1229" spans="1:32" s="608" customFormat="1" x14ac:dyDescent="0.25">
      <c r="A1229" s="624"/>
      <c r="B1229" s="617">
        <v>39049009350</v>
      </c>
      <c r="C1229" s="617" t="s">
        <v>2897</v>
      </c>
      <c r="D1229" s="617" t="s">
        <v>49</v>
      </c>
      <c r="E1229" s="617" t="s">
        <v>4854</v>
      </c>
      <c r="F1229" s="617" t="s">
        <v>26</v>
      </c>
      <c r="G1229" s="624"/>
      <c r="O1229" s="616"/>
      <c r="P1229" s="616"/>
      <c r="Q1229" s="616"/>
      <c r="AA1229" s="624"/>
      <c r="AB1229" s="663">
        <v>39053953800</v>
      </c>
      <c r="AC1229" s="663" t="s">
        <v>6161</v>
      </c>
      <c r="AD1229" s="663" t="s">
        <v>4927</v>
      </c>
      <c r="AE1229" s="663" t="s">
        <v>4942</v>
      </c>
      <c r="AF1229" s="663" t="s">
        <v>4929</v>
      </c>
    </row>
    <row r="1230" spans="1:32" s="608" customFormat="1" x14ac:dyDescent="0.25">
      <c r="A1230" s="624"/>
      <c r="B1230" s="617">
        <v>39049009361</v>
      </c>
      <c r="C1230" s="617" t="s">
        <v>2898</v>
      </c>
      <c r="D1230" s="617" t="s">
        <v>49</v>
      </c>
      <c r="E1230" s="617" t="s">
        <v>4854</v>
      </c>
      <c r="F1230" s="617" t="s">
        <v>26</v>
      </c>
      <c r="G1230" s="624"/>
      <c r="O1230" s="616"/>
      <c r="P1230" s="616"/>
      <c r="Q1230" s="616"/>
      <c r="AA1230" s="624"/>
      <c r="AB1230" s="663">
        <v>39053953900</v>
      </c>
      <c r="AC1230" s="663" t="s">
        <v>6162</v>
      </c>
      <c r="AD1230" s="663" t="s">
        <v>4950</v>
      </c>
      <c r="AE1230" s="663" t="s">
        <v>4928</v>
      </c>
      <c r="AF1230" s="663" t="s">
        <v>4929</v>
      </c>
    </row>
    <row r="1231" spans="1:32" s="608" customFormat="1" x14ac:dyDescent="0.25">
      <c r="A1231" s="624"/>
      <c r="B1231" s="617">
        <v>39049009372</v>
      </c>
      <c r="C1231" s="617" t="s">
        <v>2899</v>
      </c>
      <c r="D1231" s="617" t="s">
        <v>49</v>
      </c>
      <c r="E1231" s="617" t="s">
        <v>4854</v>
      </c>
      <c r="F1231" s="617" t="s">
        <v>26</v>
      </c>
      <c r="G1231" s="624"/>
      <c r="O1231" s="616"/>
      <c r="P1231" s="616"/>
      <c r="Q1231" s="616"/>
      <c r="AA1231" s="624"/>
      <c r="AB1231" s="663">
        <v>39053954000</v>
      </c>
      <c r="AC1231" s="663" t="s">
        <v>6163</v>
      </c>
      <c r="AD1231" s="663" t="s">
        <v>4948</v>
      </c>
      <c r="AE1231" s="663" t="s">
        <v>4939</v>
      </c>
      <c r="AF1231" s="663" t="s">
        <v>4929</v>
      </c>
    </row>
    <row r="1232" spans="1:32" s="608" customFormat="1" x14ac:dyDescent="0.25">
      <c r="A1232" s="624"/>
      <c r="B1232" s="617">
        <v>39049009373</v>
      </c>
      <c r="C1232" s="617" t="s">
        <v>2900</v>
      </c>
      <c r="D1232" s="617" t="s">
        <v>49</v>
      </c>
      <c r="E1232" s="617" t="s">
        <v>4854</v>
      </c>
      <c r="F1232" s="617" t="s">
        <v>26</v>
      </c>
      <c r="G1232" s="624"/>
      <c r="O1232" s="616"/>
      <c r="P1232" s="616"/>
      <c r="Q1232" s="616"/>
      <c r="AA1232" s="624"/>
      <c r="AB1232" s="663">
        <v>39053954100</v>
      </c>
      <c r="AC1232" s="663" t="s">
        <v>6164</v>
      </c>
      <c r="AD1232" s="663" t="s">
        <v>4950</v>
      </c>
      <c r="AE1232" s="663" t="s">
        <v>4942</v>
      </c>
      <c r="AF1232" s="663" t="s">
        <v>4929</v>
      </c>
    </row>
    <row r="1233" spans="1:32" s="608" customFormat="1" x14ac:dyDescent="0.25">
      <c r="A1233" s="624"/>
      <c r="B1233" s="617">
        <v>39049009381</v>
      </c>
      <c r="C1233" s="617" t="s">
        <v>2901</v>
      </c>
      <c r="D1233" s="617" t="s">
        <v>49</v>
      </c>
      <c r="E1233" s="617" t="s">
        <v>4854</v>
      </c>
      <c r="F1233" s="617" t="s">
        <v>26</v>
      </c>
      <c r="G1233" s="624"/>
      <c r="O1233" s="616"/>
      <c r="P1233" s="616"/>
      <c r="Q1233" s="616"/>
      <c r="AA1233" s="624"/>
      <c r="AB1233" s="663">
        <v>39055310100</v>
      </c>
      <c r="AC1233" s="663" t="s">
        <v>6165</v>
      </c>
      <c r="AD1233" s="663" t="s">
        <v>4948</v>
      </c>
      <c r="AE1233" s="663" t="s">
        <v>4939</v>
      </c>
      <c r="AF1233" s="663" t="s">
        <v>4929</v>
      </c>
    </row>
    <row r="1234" spans="1:32" s="608" customFormat="1" x14ac:dyDescent="0.25">
      <c r="A1234" s="624"/>
      <c r="B1234" s="617">
        <v>39049009382</v>
      </c>
      <c r="C1234" s="617" t="s">
        <v>2902</v>
      </c>
      <c r="D1234" s="617" t="s">
        <v>49</v>
      </c>
      <c r="E1234" s="617" t="s">
        <v>4854</v>
      </c>
      <c r="F1234" s="617" t="s">
        <v>26</v>
      </c>
      <c r="G1234" s="624"/>
      <c r="O1234" s="616"/>
      <c r="P1234" s="616"/>
      <c r="Q1234" s="616"/>
      <c r="AA1234" s="624"/>
      <c r="AB1234" s="663">
        <v>39055310200</v>
      </c>
      <c r="AC1234" s="663" t="s">
        <v>6166</v>
      </c>
      <c r="AD1234" s="663" t="s">
        <v>4941</v>
      </c>
      <c r="AE1234" s="663" t="s">
        <v>4939</v>
      </c>
      <c r="AF1234" s="663" t="s">
        <v>4929</v>
      </c>
    </row>
    <row r="1235" spans="1:32" s="608" customFormat="1" x14ac:dyDescent="0.25">
      <c r="A1235" s="624"/>
      <c r="B1235" s="617">
        <v>39049009383</v>
      </c>
      <c r="C1235" s="617" t="s">
        <v>2903</v>
      </c>
      <c r="D1235" s="617" t="s">
        <v>49</v>
      </c>
      <c r="E1235" s="617" t="s">
        <v>4854</v>
      </c>
      <c r="F1235" s="617" t="s">
        <v>26</v>
      </c>
      <c r="G1235" s="624"/>
      <c r="O1235" s="616"/>
      <c r="P1235" s="616"/>
      <c r="Q1235" s="616"/>
      <c r="AA1235" s="624"/>
      <c r="AB1235" s="663">
        <v>39055310600</v>
      </c>
      <c r="AC1235" s="663" t="s">
        <v>6167</v>
      </c>
      <c r="AD1235" s="663" t="s">
        <v>4941</v>
      </c>
      <c r="AE1235" s="663" t="s">
        <v>4942</v>
      </c>
      <c r="AF1235" s="663" t="s">
        <v>4946</v>
      </c>
    </row>
    <row r="1236" spans="1:32" s="608" customFormat="1" x14ac:dyDescent="0.25">
      <c r="A1236" s="624"/>
      <c r="B1236" s="617">
        <v>39049009384</v>
      </c>
      <c r="C1236" s="617" t="s">
        <v>2904</v>
      </c>
      <c r="D1236" s="617" t="s">
        <v>49</v>
      </c>
      <c r="E1236" s="617" t="s">
        <v>4854</v>
      </c>
      <c r="F1236" s="617" t="s">
        <v>26</v>
      </c>
      <c r="G1236" s="624"/>
      <c r="O1236" s="616"/>
      <c r="P1236" s="616"/>
      <c r="Q1236" s="616"/>
      <c r="AA1236" s="624"/>
      <c r="AB1236" s="663">
        <v>39055310700</v>
      </c>
      <c r="AC1236" s="663" t="s">
        <v>6168</v>
      </c>
      <c r="AD1236" s="663" t="s">
        <v>4938</v>
      </c>
      <c r="AE1236" s="663" t="s">
        <v>4942</v>
      </c>
      <c r="AF1236" s="663" t="s">
        <v>4929</v>
      </c>
    </row>
    <row r="1237" spans="1:32" s="608" customFormat="1" x14ac:dyDescent="0.25">
      <c r="A1237" s="624"/>
      <c r="B1237" s="617">
        <v>39049009385</v>
      </c>
      <c r="C1237" s="617" t="s">
        <v>2905</v>
      </c>
      <c r="D1237" s="617" t="s">
        <v>49</v>
      </c>
      <c r="E1237" s="617" t="s">
        <v>4854</v>
      </c>
      <c r="F1237" s="617" t="s">
        <v>26</v>
      </c>
      <c r="G1237" s="624"/>
      <c r="O1237" s="616"/>
      <c r="P1237" s="616"/>
      <c r="Q1237" s="616"/>
      <c r="AA1237" s="624"/>
      <c r="AB1237" s="663">
        <v>39055310800</v>
      </c>
      <c r="AC1237" s="663" t="s">
        <v>6169</v>
      </c>
      <c r="AD1237" s="663" t="s">
        <v>4938</v>
      </c>
      <c r="AE1237" s="663" t="s">
        <v>4939</v>
      </c>
      <c r="AF1237" s="663" t="s">
        <v>4929</v>
      </c>
    </row>
    <row r="1238" spans="1:32" s="608" customFormat="1" x14ac:dyDescent="0.25">
      <c r="A1238" s="624"/>
      <c r="B1238" s="617">
        <v>39049009386</v>
      </c>
      <c r="C1238" s="617" t="s">
        <v>2906</v>
      </c>
      <c r="D1238" s="617" t="s">
        <v>49</v>
      </c>
      <c r="E1238" s="617" t="s">
        <v>4854</v>
      </c>
      <c r="F1238" s="617" t="s">
        <v>24</v>
      </c>
      <c r="G1238" s="624"/>
      <c r="O1238" s="616"/>
      <c r="P1238" s="616"/>
      <c r="Q1238" s="616"/>
      <c r="AA1238" s="624"/>
      <c r="AB1238" s="663">
        <v>39055310900</v>
      </c>
      <c r="AC1238" s="663" t="s">
        <v>6170</v>
      </c>
      <c r="AD1238" s="663" t="s">
        <v>4941</v>
      </c>
      <c r="AE1238" s="663" t="s">
        <v>4934</v>
      </c>
      <c r="AF1238" s="663" t="s">
        <v>4929</v>
      </c>
    </row>
    <row r="1239" spans="1:32" s="608" customFormat="1" x14ac:dyDescent="0.25">
      <c r="A1239" s="624"/>
      <c r="B1239" s="617">
        <v>39049009390</v>
      </c>
      <c r="C1239" s="617" t="s">
        <v>2907</v>
      </c>
      <c r="D1239" s="617" t="s">
        <v>49</v>
      </c>
      <c r="E1239" s="617" t="s">
        <v>4854</v>
      </c>
      <c r="F1239" s="617" t="s">
        <v>26</v>
      </c>
      <c r="G1239" s="624"/>
      <c r="O1239" s="616"/>
      <c r="P1239" s="616"/>
      <c r="Q1239" s="616"/>
      <c r="AA1239" s="624"/>
      <c r="AB1239" s="663">
        <v>39055311000</v>
      </c>
      <c r="AC1239" s="663" t="s">
        <v>6171</v>
      </c>
      <c r="AD1239" s="663" t="s">
        <v>4927</v>
      </c>
      <c r="AE1239" s="663" t="s">
        <v>4928</v>
      </c>
      <c r="AF1239" s="663" t="s">
        <v>4929</v>
      </c>
    </row>
    <row r="1240" spans="1:32" s="608" customFormat="1" x14ac:dyDescent="0.25">
      <c r="A1240" s="624"/>
      <c r="B1240" s="617">
        <v>39049009391</v>
      </c>
      <c r="C1240" s="617" t="s">
        <v>2908</v>
      </c>
      <c r="D1240" s="617" t="s">
        <v>49</v>
      </c>
      <c r="E1240" s="617" t="s">
        <v>4854</v>
      </c>
      <c r="F1240" s="617" t="s">
        <v>26</v>
      </c>
      <c r="G1240" s="624"/>
      <c r="O1240" s="616"/>
      <c r="P1240" s="616"/>
      <c r="Q1240" s="616"/>
      <c r="AA1240" s="624"/>
      <c r="AB1240" s="663">
        <v>39055311300</v>
      </c>
      <c r="AC1240" s="663" t="s">
        <v>6172</v>
      </c>
      <c r="AD1240" s="663" t="s">
        <v>4948</v>
      </c>
      <c r="AE1240" s="663" t="s">
        <v>4942</v>
      </c>
      <c r="AF1240" s="663" t="s">
        <v>4929</v>
      </c>
    </row>
    <row r="1241" spans="1:32" s="608" customFormat="1" x14ac:dyDescent="0.25">
      <c r="A1241" s="624"/>
      <c r="B1241" s="617">
        <v>39049009392</v>
      </c>
      <c r="C1241" s="617" t="s">
        <v>2909</v>
      </c>
      <c r="D1241" s="617" t="s">
        <v>49</v>
      </c>
      <c r="E1241" s="617" t="s">
        <v>4854</v>
      </c>
      <c r="F1241" s="617" t="s">
        <v>26</v>
      </c>
      <c r="G1241" s="624"/>
      <c r="O1241" s="616"/>
      <c r="P1241" s="616"/>
      <c r="Q1241" s="616"/>
      <c r="AA1241" s="624"/>
      <c r="AB1241" s="663">
        <v>39055311400</v>
      </c>
      <c r="AC1241" s="663" t="s">
        <v>6173</v>
      </c>
      <c r="AD1241" s="663" t="s">
        <v>4941</v>
      </c>
      <c r="AE1241" s="663" t="s">
        <v>4931</v>
      </c>
      <c r="AF1241" s="663" t="s">
        <v>4929</v>
      </c>
    </row>
    <row r="1242" spans="1:32" s="608" customFormat="1" x14ac:dyDescent="0.25">
      <c r="A1242" s="624"/>
      <c r="B1242" s="617">
        <v>39049009393</v>
      </c>
      <c r="C1242" s="617" t="s">
        <v>2910</v>
      </c>
      <c r="D1242" s="617" t="s">
        <v>49</v>
      </c>
      <c r="E1242" s="617" t="s">
        <v>4854</v>
      </c>
      <c r="F1242" s="617" t="s">
        <v>24</v>
      </c>
      <c r="G1242" s="624"/>
      <c r="O1242" s="616"/>
      <c r="P1242" s="616"/>
      <c r="Q1242" s="616"/>
      <c r="AA1242" s="624"/>
      <c r="AB1242" s="663">
        <v>39055311500</v>
      </c>
      <c r="AC1242" s="663" t="s">
        <v>6174</v>
      </c>
      <c r="AD1242" s="663" t="s">
        <v>4938</v>
      </c>
      <c r="AE1242" s="663" t="s">
        <v>4934</v>
      </c>
      <c r="AF1242" s="663" t="s">
        <v>4929</v>
      </c>
    </row>
    <row r="1243" spans="1:32" s="608" customFormat="1" x14ac:dyDescent="0.25">
      <c r="A1243" s="624"/>
      <c r="B1243" s="617">
        <v>39049009394</v>
      </c>
      <c r="C1243" s="617" t="s">
        <v>2911</v>
      </c>
      <c r="D1243" s="617" t="s">
        <v>49</v>
      </c>
      <c r="E1243" s="617" t="s">
        <v>4854</v>
      </c>
      <c r="F1243" s="617" t="s">
        <v>26</v>
      </c>
      <c r="G1243" s="624"/>
      <c r="O1243" s="616"/>
      <c r="P1243" s="616"/>
      <c r="Q1243" s="616"/>
      <c r="AA1243" s="624"/>
      <c r="AB1243" s="663">
        <v>39055311600</v>
      </c>
      <c r="AC1243" s="663" t="s">
        <v>6175</v>
      </c>
      <c r="AD1243" s="663" t="s">
        <v>4938</v>
      </c>
      <c r="AE1243" s="663" t="s">
        <v>4942</v>
      </c>
      <c r="AF1243" s="663" t="s">
        <v>4946</v>
      </c>
    </row>
    <row r="1244" spans="1:32" s="608" customFormat="1" x14ac:dyDescent="0.25">
      <c r="A1244" s="624"/>
      <c r="B1244" s="617">
        <v>39049009395</v>
      </c>
      <c r="C1244" s="617" t="s">
        <v>2912</v>
      </c>
      <c r="D1244" s="617" t="s">
        <v>49</v>
      </c>
      <c r="E1244" s="617" t="s">
        <v>4854</v>
      </c>
      <c r="F1244" s="617" t="s">
        <v>26</v>
      </c>
      <c r="G1244" s="624"/>
      <c r="O1244" s="616"/>
      <c r="P1244" s="616"/>
      <c r="Q1244" s="616"/>
      <c r="AA1244" s="624"/>
      <c r="AB1244" s="663">
        <v>39055311700</v>
      </c>
      <c r="AC1244" s="663" t="s">
        <v>6176</v>
      </c>
      <c r="AD1244" s="663" t="s">
        <v>4938</v>
      </c>
      <c r="AE1244" s="663" t="s">
        <v>4939</v>
      </c>
      <c r="AF1244" s="663" t="s">
        <v>4946</v>
      </c>
    </row>
    <row r="1245" spans="1:32" s="608" customFormat="1" x14ac:dyDescent="0.25">
      <c r="A1245" s="624"/>
      <c r="B1245" s="617">
        <v>39049009396</v>
      </c>
      <c r="C1245" s="617" t="s">
        <v>2913</v>
      </c>
      <c r="D1245" s="617" t="s">
        <v>49</v>
      </c>
      <c r="E1245" s="617" t="s">
        <v>4854</v>
      </c>
      <c r="F1245" s="617" t="s">
        <v>26</v>
      </c>
      <c r="G1245" s="624"/>
      <c r="O1245" s="616"/>
      <c r="P1245" s="616"/>
      <c r="Q1245" s="616"/>
      <c r="AA1245" s="624"/>
      <c r="AB1245" s="663">
        <v>39055311800</v>
      </c>
      <c r="AC1245" s="663" t="s">
        <v>6177</v>
      </c>
      <c r="AD1245" s="663" t="s">
        <v>4938</v>
      </c>
      <c r="AE1245" s="663" t="s">
        <v>4939</v>
      </c>
      <c r="AF1245" s="663" t="s">
        <v>4929</v>
      </c>
    </row>
    <row r="1246" spans="1:32" s="608" customFormat="1" x14ac:dyDescent="0.25">
      <c r="A1246" s="624"/>
      <c r="B1246" s="617">
        <v>39049009397</v>
      </c>
      <c r="C1246" s="617" t="s">
        <v>2914</v>
      </c>
      <c r="D1246" s="617" t="s">
        <v>49</v>
      </c>
      <c r="E1246" s="617" t="s">
        <v>4854</v>
      </c>
      <c r="F1246" s="617" t="s">
        <v>26</v>
      </c>
      <c r="G1246" s="624"/>
      <c r="O1246" s="616"/>
      <c r="P1246" s="616"/>
      <c r="Q1246" s="616"/>
      <c r="AA1246" s="624"/>
      <c r="AB1246" s="663">
        <v>39055311900</v>
      </c>
      <c r="AC1246" s="663" t="s">
        <v>6178</v>
      </c>
      <c r="AD1246" s="663" t="s">
        <v>4938</v>
      </c>
      <c r="AE1246" s="663" t="s">
        <v>4928</v>
      </c>
      <c r="AF1246" s="663" t="s">
        <v>4929</v>
      </c>
    </row>
    <row r="1247" spans="1:32" s="608" customFormat="1" x14ac:dyDescent="0.25">
      <c r="A1247" s="624"/>
      <c r="B1247" s="617">
        <v>39049009401</v>
      </c>
      <c r="C1247" s="617" t="s">
        <v>2915</v>
      </c>
      <c r="D1247" s="617" t="s">
        <v>49</v>
      </c>
      <c r="E1247" s="617" t="s">
        <v>4854</v>
      </c>
      <c r="F1247" s="617" t="s">
        <v>26</v>
      </c>
      <c r="G1247" s="624"/>
      <c r="O1247" s="616"/>
      <c r="P1247" s="616"/>
      <c r="Q1247" s="616"/>
      <c r="AA1247" s="624"/>
      <c r="AB1247" s="663">
        <v>39055312000</v>
      </c>
      <c r="AC1247" s="663" t="s">
        <v>6179</v>
      </c>
      <c r="AD1247" s="663" t="s">
        <v>4948</v>
      </c>
      <c r="AE1247" s="663" t="s">
        <v>4931</v>
      </c>
      <c r="AF1247" s="663" t="s">
        <v>4929</v>
      </c>
    </row>
    <row r="1248" spans="1:32" s="608" customFormat="1" x14ac:dyDescent="0.25">
      <c r="A1248" s="624"/>
      <c r="B1248" s="617">
        <v>39049009403</v>
      </c>
      <c r="C1248" s="617" t="s">
        <v>2916</v>
      </c>
      <c r="D1248" s="617" t="s">
        <v>49</v>
      </c>
      <c r="E1248" s="617" t="s">
        <v>4854</v>
      </c>
      <c r="F1248" s="617" t="s">
        <v>26</v>
      </c>
      <c r="G1248" s="624"/>
      <c r="O1248" s="616"/>
      <c r="P1248" s="616"/>
      <c r="Q1248" s="616"/>
      <c r="AA1248" s="624"/>
      <c r="AB1248" s="663">
        <v>39055312100</v>
      </c>
      <c r="AC1248" s="663" t="s">
        <v>6180</v>
      </c>
      <c r="AD1248" s="663" t="s">
        <v>4927</v>
      </c>
      <c r="AE1248" s="663" t="s">
        <v>4931</v>
      </c>
      <c r="AF1248" s="663" t="s">
        <v>4929</v>
      </c>
    </row>
    <row r="1249" spans="1:32" s="608" customFormat="1" x14ac:dyDescent="0.25">
      <c r="A1249" s="624"/>
      <c r="B1249" s="617">
        <v>39049009404</v>
      </c>
      <c r="C1249" s="617" t="s">
        <v>2917</v>
      </c>
      <c r="D1249" s="617" t="s">
        <v>49</v>
      </c>
      <c r="E1249" s="617" t="s">
        <v>4854</v>
      </c>
      <c r="F1249" s="617" t="s">
        <v>26</v>
      </c>
      <c r="G1249" s="624"/>
      <c r="O1249" s="616"/>
      <c r="P1249" s="616"/>
      <c r="Q1249" s="616"/>
      <c r="AA1249" s="624"/>
      <c r="AB1249" s="663">
        <v>39055312201</v>
      </c>
      <c r="AC1249" s="663" t="s">
        <v>6181</v>
      </c>
      <c r="AD1249" s="663" t="s">
        <v>4938</v>
      </c>
      <c r="AE1249" s="663" t="s">
        <v>4942</v>
      </c>
      <c r="AF1249" s="663" t="s">
        <v>4929</v>
      </c>
    </row>
    <row r="1250" spans="1:32" s="608" customFormat="1" x14ac:dyDescent="0.25">
      <c r="A1250" s="624"/>
      <c r="B1250" s="617">
        <v>39049009405</v>
      </c>
      <c r="C1250" s="617" t="s">
        <v>2918</v>
      </c>
      <c r="D1250" s="617" t="s">
        <v>49</v>
      </c>
      <c r="E1250" s="617" t="s">
        <v>4854</v>
      </c>
      <c r="F1250" s="617" t="s">
        <v>26</v>
      </c>
      <c r="G1250" s="624"/>
      <c r="O1250" s="616"/>
      <c r="P1250" s="616"/>
      <c r="Q1250" s="616"/>
      <c r="AA1250" s="624"/>
      <c r="AB1250" s="663">
        <v>39055312202</v>
      </c>
      <c r="AC1250" s="663" t="s">
        <v>6182</v>
      </c>
      <c r="AD1250" s="663" t="s">
        <v>4938</v>
      </c>
      <c r="AE1250" s="663" t="s">
        <v>4942</v>
      </c>
      <c r="AF1250" s="663" t="s">
        <v>4929</v>
      </c>
    </row>
    <row r="1251" spans="1:32" s="608" customFormat="1" x14ac:dyDescent="0.25">
      <c r="A1251" s="624"/>
      <c r="B1251" s="617">
        <v>39049009410</v>
      </c>
      <c r="C1251" s="617" t="s">
        <v>2919</v>
      </c>
      <c r="D1251" s="617" t="s">
        <v>49</v>
      </c>
      <c r="E1251" s="617" t="s">
        <v>4854</v>
      </c>
      <c r="F1251" s="617" t="s">
        <v>26</v>
      </c>
      <c r="G1251" s="624"/>
      <c r="O1251" s="616"/>
      <c r="P1251" s="616"/>
      <c r="Q1251" s="616"/>
      <c r="AA1251" s="624"/>
      <c r="AB1251" s="663">
        <v>39055312203</v>
      </c>
      <c r="AC1251" s="663" t="s">
        <v>6183</v>
      </c>
      <c r="AD1251" s="663" t="s">
        <v>4938</v>
      </c>
      <c r="AE1251" s="663" t="s">
        <v>4942</v>
      </c>
      <c r="AF1251" s="663" t="s">
        <v>4929</v>
      </c>
    </row>
    <row r="1252" spans="1:32" s="608" customFormat="1" x14ac:dyDescent="0.25">
      <c r="A1252" s="624"/>
      <c r="B1252" s="617">
        <v>39049009420</v>
      </c>
      <c r="C1252" s="617" t="s">
        <v>2920</v>
      </c>
      <c r="D1252" s="617" t="s">
        <v>49</v>
      </c>
      <c r="E1252" s="617" t="s">
        <v>4854</v>
      </c>
      <c r="F1252" s="617" t="s">
        <v>26</v>
      </c>
      <c r="G1252" s="624"/>
      <c r="O1252" s="616"/>
      <c r="P1252" s="616"/>
      <c r="Q1252" s="616"/>
      <c r="AA1252" s="624"/>
      <c r="AB1252" s="663">
        <v>39055312300</v>
      </c>
      <c r="AC1252" s="663" t="s">
        <v>6184</v>
      </c>
      <c r="AD1252" s="663" t="s">
        <v>4948</v>
      </c>
      <c r="AE1252" s="663" t="s">
        <v>4942</v>
      </c>
      <c r="AF1252" s="663" t="s">
        <v>4929</v>
      </c>
    </row>
    <row r="1253" spans="1:32" s="608" customFormat="1" x14ac:dyDescent="0.25">
      <c r="A1253" s="624"/>
      <c r="B1253" s="617">
        <v>39049009440</v>
      </c>
      <c r="C1253" s="617" t="s">
        <v>2921</v>
      </c>
      <c r="D1253" s="617" t="s">
        <v>49</v>
      </c>
      <c r="E1253" s="617" t="s">
        <v>4854</v>
      </c>
      <c r="F1253" s="617" t="s">
        <v>26</v>
      </c>
      <c r="G1253" s="624"/>
      <c r="O1253" s="616"/>
      <c r="P1253" s="616"/>
      <c r="Q1253" s="616"/>
      <c r="AA1253" s="624"/>
      <c r="AB1253" s="663">
        <v>39055312400</v>
      </c>
      <c r="AC1253" s="663" t="s">
        <v>6185</v>
      </c>
      <c r="AD1253" s="663" t="s">
        <v>4927</v>
      </c>
      <c r="AE1253" s="663" t="s">
        <v>4939</v>
      </c>
      <c r="AF1253" s="663" t="s">
        <v>4929</v>
      </c>
    </row>
    <row r="1254" spans="1:32" s="608" customFormat="1" x14ac:dyDescent="0.25">
      <c r="A1254" s="624"/>
      <c r="B1254" s="617">
        <v>39049009495</v>
      </c>
      <c r="C1254" s="617" t="s">
        <v>2922</v>
      </c>
      <c r="D1254" s="617" t="s">
        <v>49</v>
      </c>
      <c r="E1254" s="617" t="s">
        <v>4854</v>
      </c>
      <c r="F1254" s="617" t="s">
        <v>26</v>
      </c>
      <c r="G1254" s="624"/>
      <c r="O1254" s="616"/>
      <c r="P1254" s="616"/>
      <c r="Q1254" s="616"/>
      <c r="AA1254" s="624"/>
      <c r="AB1254" s="663">
        <v>39057200101</v>
      </c>
      <c r="AC1254" s="663" t="s">
        <v>6186</v>
      </c>
      <c r="AD1254" s="663" t="s">
        <v>4927</v>
      </c>
      <c r="AE1254" s="663" t="s">
        <v>4928</v>
      </c>
      <c r="AF1254" s="663" t="s">
        <v>4946</v>
      </c>
    </row>
    <row r="1255" spans="1:32" s="608" customFormat="1" x14ac:dyDescent="0.25">
      <c r="A1255" s="624"/>
      <c r="B1255" s="617">
        <v>39049009497</v>
      </c>
      <c r="C1255" s="617" t="s">
        <v>2923</v>
      </c>
      <c r="D1255" s="617" t="s">
        <v>49</v>
      </c>
      <c r="E1255" s="617" t="s">
        <v>4854</v>
      </c>
      <c r="F1255" s="617" t="s">
        <v>26</v>
      </c>
      <c r="G1255" s="624"/>
      <c r="O1255" s="616"/>
      <c r="P1255" s="616"/>
      <c r="Q1255" s="616"/>
      <c r="AA1255" s="624"/>
      <c r="AB1255" s="663">
        <v>39057200103</v>
      </c>
      <c r="AC1255" s="663" t="s">
        <v>6187</v>
      </c>
      <c r="AD1255" s="663" t="s">
        <v>4948</v>
      </c>
      <c r="AE1255" s="663" t="s">
        <v>4931</v>
      </c>
      <c r="AF1255" s="663" t="s">
        <v>4946</v>
      </c>
    </row>
    <row r="1256" spans="1:32" s="608" customFormat="1" x14ac:dyDescent="0.25">
      <c r="A1256" s="624"/>
      <c r="B1256" s="617">
        <v>39049009498</v>
      </c>
      <c r="C1256" s="617" t="s">
        <v>2924</v>
      </c>
      <c r="D1256" s="617" t="s">
        <v>49</v>
      </c>
      <c r="E1256" s="617" t="s">
        <v>4854</v>
      </c>
      <c r="F1256" s="617" t="s">
        <v>26</v>
      </c>
      <c r="G1256" s="624"/>
      <c r="O1256" s="616"/>
      <c r="P1256" s="616"/>
      <c r="Q1256" s="616"/>
      <c r="AA1256" s="624"/>
      <c r="AB1256" s="663">
        <v>39057200104</v>
      </c>
      <c r="AC1256" s="663" t="s">
        <v>6188</v>
      </c>
      <c r="AD1256" s="663" t="s">
        <v>4950</v>
      </c>
      <c r="AE1256" s="663" t="s">
        <v>4928</v>
      </c>
      <c r="AF1256" s="663" t="s">
        <v>4946</v>
      </c>
    </row>
    <row r="1257" spans="1:32" s="608" customFormat="1" x14ac:dyDescent="0.25">
      <c r="A1257" s="624"/>
      <c r="B1257" s="617">
        <v>39049009520</v>
      </c>
      <c r="C1257" s="617" t="s">
        <v>2925</v>
      </c>
      <c r="D1257" s="617" t="s">
        <v>49</v>
      </c>
      <c r="E1257" s="617" t="s">
        <v>4854</v>
      </c>
      <c r="F1257" s="617" t="s">
        <v>26</v>
      </c>
      <c r="G1257" s="624"/>
      <c r="O1257" s="616"/>
      <c r="P1257" s="616"/>
      <c r="Q1257" s="616"/>
      <c r="AA1257" s="624"/>
      <c r="AB1257" s="663">
        <v>39057200300</v>
      </c>
      <c r="AC1257" s="663" t="s">
        <v>6189</v>
      </c>
      <c r="AD1257" s="663" t="s">
        <v>4950</v>
      </c>
      <c r="AE1257" s="663" t="s">
        <v>4939</v>
      </c>
      <c r="AF1257" s="663" t="s">
        <v>4946</v>
      </c>
    </row>
    <row r="1258" spans="1:32" s="608" customFormat="1" x14ac:dyDescent="0.25">
      <c r="A1258" s="624"/>
      <c r="B1258" s="617">
        <v>39049009590</v>
      </c>
      <c r="C1258" s="617" t="s">
        <v>2926</v>
      </c>
      <c r="D1258" s="617" t="s">
        <v>49</v>
      </c>
      <c r="E1258" s="617" t="s">
        <v>4854</v>
      </c>
      <c r="F1258" s="617" t="s">
        <v>26</v>
      </c>
      <c r="G1258" s="624"/>
      <c r="O1258" s="616"/>
      <c r="P1258" s="616"/>
      <c r="Q1258" s="616"/>
      <c r="AA1258" s="624"/>
      <c r="AB1258" s="663">
        <v>39057200400</v>
      </c>
      <c r="AC1258" s="663" t="s">
        <v>6190</v>
      </c>
      <c r="AD1258" s="663" t="s">
        <v>4927</v>
      </c>
      <c r="AE1258" s="663" t="s">
        <v>4942</v>
      </c>
      <c r="AF1258" s="663" t="s">
        <v>4946</v>
      </c>
    </row>
    <row r="1259" spans="1:32" s="608" customFormat="1" x14ac:dyDescent="0.25">
      <c r="A1259" s="624"/>
      <c r="B1259" s="617">
        <v>39049009600</v>
      </c>
      <c r="C1259" s="617" t="s">
        <v>2927</v>
      </c>
      <c r="D1259" s="617" t="s">
        <v>49</v>
      </c>
      <c r="E1259" s="617" t="s">
        <v>4854</v>
      </c>
      <c r="F1259" s="617" t="s">
        <v>26</v>
      </c>
      <c r="G1259" s="624"/>
      <c r="O1259" s="616"/>
      <c r="P1259" s="616"/>
      <c r="Q1259" s="616"/>
      <c r="AA1259" s="624"/>
      <c r="AB1259" s="663">
        <v>39057200500</v>
      </c>
      <c r="AC1259" s="663" t="s">
        <v>6191</v>
      </c>
      <c r="AD1259" s="663" t="s">
        <v>4927</v>
      </c>
      <c r="AE1259" s="663" t="s">
        <v>4928</v>
      </c>
      <c r="AF1259" s="663" t="s">
        <v>4946</v>
      </c>
    </row>
    <row r="1260" spans="1:32" s="608" customFormat="1" x14ac:dyDescent="0.25">
      <c r="A1260" s="624"/>
      <c r="B1260" s="617">
        <v>39049009711</v>
      </c>
      <c r="C1260" s="617" t="s">
        <v>2928</v>
      </c>
      <c r="D1260" s="617" t="s">
        <v>49</v>
      </c>
      <c r="E1260" s="617" t="s">
        <v>4854</v>
      </c>
      <c r="F1260" s="617" t="s">
        <v>26</v>
      </c>
      <c r="G1260" s="624"/>
      <c r="O1260" s="616"/>
      <c r="P1260" s="616"/>
      <c r="Q1260" s="616"/>
      <c r="AA1260" s="624"/>
      <c r="AB1260" s="663">
        <v>39057200600</v>
      </c>
      <c r="AC1260" s="663" t="s">
        <v>6192</v>
      </c>
      <c r="AD1260" s="663" t="s">
        <v>4948</v>
      </c>
      <c r="AE1260" s="663" t="s">
        <v>4931</v>
      </c>
      <c r="AF1260" s="663" t="s">
        <v>4946</v>
      </c>
    </row>
    <row r="1261" spans="1:32" s="608" customFormat="1" x14ac:dyDescent="0.25">
      <c r="A1261" s="624"/>
      <c r="B1261" s="617">
        <v>39049009712</v>
      </c>
      <c r="C1261" s="617" t="s">
        <v>2929</v>
      </c>
      <c r="D1261" s="617" t="s">
        <v>49</v>
      </c>
      <c r="E1261" s="617" t="s">
        <v>4854</v>
      </c>
      <c r="F1261" s="617" t="s">
        <v>26</v>
      </c>
      <c r="G1261" s="624"/>
      <c r="O1261" s="616"/>
      <c r="P1261" s="616"/>
      <c r="Q1261" s="616"/>
      <c r="AA1261" s="624"/>
      <c r="AB1261" s="663">
        <v>39057200700</v>
      </c>
      <c r="AC1261" s="663" t="s">
        <v>6193</v>
      </c>
      <c r="AD1261" s="663" t="s">
        <v>4927</v>
      </c>
      <c r="AE1261" s="663" t="s">
        <v>4928</v>
      </c>
      <c r="AF1261" s="663" t="s">
        <v>4946</v>
      </c>
    </row>
    <row r="1262" spans="1:32" s="608" customFormat="1" x14ac:dyDescent="0.25">
      <c r="A1262" s="624"/>
      <c r="B1262" s="617">
        <v>39049009751</v>
      </c>
      <c r="C1262" s="617" t="s">
        <v>2930</v>
      </c>
      <c r="D1262" s="617" t="s">
        <v>49</v>
      </c>
      <c r="E1262" s="617" t="s">
        <v>4854</v>
      </c>
      <c r="F1262" s="617" t="s">
        <v>26</v>
      </c>
      <c r="G1262" s="624"/>
      <c r="O1262" s="616"/>
      <c r="P1262" s="616"/>
      <c r="Q1262" s="616"/>
      <c r="AA1262" s="624"/>
      <c r="AB1262" s="663">
        <v>39057200900</v>
      </c>
      <c r="AC1262" s="663" t="s">
        <v>6194</v>
      </c>
      <c r="AD1262" s="663" t="s">
        <v>4938</v>
      </c>
      <c r="AE1262" s="663" t="s">
        <v>4934</v>
      </c>
      <c r="AF1262" s="663" t="s">
        <v>4929</v>
      </c>
    </row>
    <row r="1263" spans="1:32" s="608" customFormat="1" x14ac:dyDescent="0.25">
      <c r="A1263" s="624"/>
      <c r="B1263" s="617">
        <v>39049009752</v>
      </c>
      <c r="C1263" s="617" t="s">
        <v>2931</v>
      </c>
      <c r="D1263" s="617" t="s">
        <v>49</v>
      </c>
      <c r="E1263" s="617" t="s">
        <v>4854</v>
      </c>
      <c r="F1263" s="617" t="s">
        <v>26</v>
      </c>
      <c r="G1263" s="624"/>
      <c r="O1263" s="616"/>
      <c r="P1263" s="616"/>
      <c r="Q1263" s="616"/>
      <c r="AA1263" s="624"/>
      <c r="AB1263" s="663">
        <v>39057210100</v>
      </c>
      <c r="AC1263" s="663" t="s">
        <v>6195</v>
      </c>
      <c r="AD1263" s="663" t="s">
        <v>4938</v>
      </c>
      <c r="AE1263" s="663" t="s">
        <v>4934</v>
      </c>
      <c r="AF1263" s="663" t="s">
        <v>4946</v>
      </c>
    </row>
    <row r="1264" spans="1:32" s="608" customFormat="1" x14ac:dyDescent="0.25">
      <c r="A1264" s="624"/>
      <c r="B1264" s="617">
        <v>39049009753</v>
      </c>
      <c r="C1264" s="617" t="s">
        <v>2932</v>
      </c>
      <c r="D1264" s="617" t="s">
        <v>49</v>
      </c>
      <c r="E1264" s="617" t="s">
        <v>4854</v>
      </c>
      <c r="F1264" s="617" t="s">
        <v>26</v>
      </c>
      <c r="G1264" s="624"/>
      <c r="O1264" s="616"/>
      <c r="P1264" s="616"/>
      <c r="Q1264" s="616"/>
      <c r="AA1264" s="624"/>
      <c r="AB1264" s="663">
        <v>39057210200</v>
      </c>
      <c r="AC1264" s="663" t="s">
        <v>6196</v>
      </c>
      <c r="AD1264" s="663" t="s">
        <v>4938</v>
      </c>
      <c r="AE1264" s="663" t="s">
        <v>4931</v>
      </c>
      <c r="AF1264" s="663" t="s">
        <v>4946</v>
      </c>
    </row>
    <row r="1265" spans="1:32" s="608" customFormat="1" x14ac:dyDescent="0.25">
      <c r="A1265" s="624"/>
      <c r="B1265" s="617">
        <v>39049009754</v>
      </c>
      <c r="C1265" s="617" t="s">
        <v>2933</v>
      </c>
      <c r="D1265" s="617" t="s">
        <v>49</v>
      </c>
      <c r="E1265" s="617" t="s">
        <v>4854</v>
      </c>
      <c r="F1265" s="617" t="s">
        <v>26</v>
      </c>
      <c r="G1265" s="624"/>
      <c r="O1265" s="616"/>
      <c r="P1265" s="616"/>
      <c r="Q1265" s="616"/>
      <c r="AA1265" s="624"/>
      <c r="AB1265" s="663">
        <v>39057210300</v>
      </c>
      <c r="AC1265" s="663" t="s">
        <v>6197</v>
      </c>
      <c r="AD1265" s="663" t="s">
        <v>4941</v>
      </c>
      <c r="AE1265" s="663" t="s">
        <v>4931</v>
      </c>
      <c r="AF1265" s="663" t="s">
        <v>4946</v>
      </c>
    </row>
    <row r="1266" spans="1:32" s="608" customFormat="1" x14ac:dyDescent="0.25">
      <c r="A1266" s="624"/>
      <c r="B1266" s="617">
        <v>39049009755</v>
      </c>
      <c r="C1266" s="617" t="s">
        <v>2934</v>
      </c>
      <c r="D1266" s="617" t="s">
        <v>49</v>
      </c>
      <c r="E1266" s="617" t="s">
        <v>4854</v>
      </c>
      <c r="F1266" s="617" t="s">
        <v>26</v>
      </c>
      <c r="G1266" s="624"/>
      <c r="O1266" s="616"/>
      <c r="P1266" s="616"/>
      <c r="Q1266" s="616"/>
      <c r="AA1266" s="624"/>
      <c r="AB1266" s="663">
        <v>39057210401</v>
      </c>
      <c r="AC1266" s="663" t="s">
        <v>6198</v>
      </c>
      <c r="AD1266" s="663" t="s">
        <v>4938</v>
      </c>
      <c r="AE1266" s="663" t="s">
        <v>4931</v>
      </c>
      <c r="AF1266" s="663" t="s">
        <v>4946</v>
      </c>
    </row>
    <row r="1267" spans="1:32" s="608" customFormat="1" x14ac:dyDescent="0.25">
      <c r="A1267" s="624"/>
      <c r="B1267" s="617">
        <v>39049009756</v>
      </c>
      <c r="C1267" s="617" t="s">
        <v>2935</v>
      </c>
      <c r="D1267" s="617" t="s">
        <v>49</v>
      </c>
      <c r="E1267" s="617" t="s">
        <v>4854</v>
      </c>
      <c r="F1267" s="617" t="s">
        <v>26</v>
      </c>
      <c r="G1267" s="624"/>
      <c r="O1267" s="616"/>
      <c r="P1267" s="616"/>
      <c r="Q1267" s="616"/>
      <c r="AA1267" s="624"/>
      <c r="AB1267" s="663">
        <v>39057210402</v>
      </c>
      <c r="AC1267" s="663" t="s">
        <v>6199</v>
      </c>
      <c r="AD1267" s="663" t="s">
        <v>4941</v>
      </c>
      <c r="AE1267" s="663" t="s">
        <v>4934</v>
      </c>
      <c r="AF1267" s="663" t="s">
        <v>4946</v>
      </c>
    </row>
    <row r="1268" spans="1:32" s="608" customFormat="1" x14ac:dyDescent="0.25">
      <c r="A1268" s="624"/>
      <c r="B1268" s="617">
        <v>39049009757</v>
      </c>
      <c r="C1268" s="617" t="s">
        <v>2936</v>
      </c>
      <c r="D1268" s="617" t="s">
        <v>49</v>
      </c>
      <c r="E1268" s="617" t="s">
        <v>4854</v>
      </c>
      <c r="F1268" s="617" t="s">
        <v>26</v>
      </c>
      <c r="G1268" s="624"/>
      <c r="O1268" s="616"/>
      <c r="P1268" s="616"/>
      <c r="Q1268" s="616"/>
      <c r="AA1268" s="624"/>
      <c r="AB1268" s="663">
        <v>39057210500</v>
      </c>
      <c r="AC1268" s="663" t="s">
        <v>6200</v>
      </c>
      <c r="AD1268" s="663" t="s">
        <v>4938</v>
      </c>
      <c r="AE1268" s="663" t="s">
        <v>4928</v>
      </c>
      <c r="AF1268" s="663" t="s">
        <v>4929</v>
      </c>
    </row>
    <row r="1269" spans="1:32" s="608" customFormat="1" x14ac:dyDescent="0.25">
      <c r="A1269" s="624"/>
      <c r="B1269" s="617">
        <v>39049009801</v>
      </c>
      <c r="C1269" s="617" t="s">
        <v>2937</v>
      </c>
      <c r="D1269" s="617" t="s">
        <v>49</v>
      </c>
      <c r="E1269" s="617" t="s">
        <v>4854</v>
      </c>
      <c r="F1269" s="617" t="s">
        <v>26</v>
      </c>
      <c r="G1269" s="624"/>
      <c r="O1269" s="616"/>
      <c r="P1269" s="616"/>
      <c r="Q1269" s="616"/>
      <c r="AA1269" s="624"/>
      <c r="AB1269" s="663">
        <v>39057210601</v>
      </c>
      <c r="AC1269" s="663" t="s">
        <v>6201</v>
      </c>
      <c r="AD1269" s="663" t="s">
        <v>4938</v>
      </c>
      <c r="AE1269" s="663" t="s">
        <v>4942</v>
      </c>
      <c r="AF1269" s="663" t="s">
        <v>4946</v>
      </c>
    </row>
    <row r="1270" spans="1:32" s="608" customFormat="1" x14ac:dyDescent="0.25">
      <c r="A1270" s="624"/>
      <c r="B1270" s="617">
        <v>39049009802</v>
      </c>
      <c r="C1270" s="617" t="s">
        <v>2938</v>
      </c>
      <c r="D1270" s="617" t="s">
        <v>49</v>
      </c>
      <c r="E1270" s="617" t="s">
        <v>4854</v>
      </c>
      <c r="F1270" s="617" t="s">
        <v>26</v>
      </c>
      <c r="G1270" s="624"/>
      <c r="O1270" s="616"/>
      <c r="P1270" s="616"/>
      <c r="Q1270" s="616"/>
      <c r="AA1270" s="624"/>
      <c r="AB1270" s="663">
        <v>39057210602</v>
      </c>
      <c r="AC1270" s="663" t="s">
        <v>6202</v>
      </c>
      <c r="AD1270" s="663" t="s">
        <v>4941</v>
      </c>
      <c r="AE1270" s="663" t="s">
        <v>4942</v>
      </c>
      <c r="AF1270" s="663" t="s">
        <v>4946</v>
      </c>
    </row>
    <row r="1271" spans="1:32" s="608" customFormat="1" x14ac:dyDescent="0.25">
      <c r="A1271" s="624"/>
      <c r="B1271" s="617">
        <v>39049009900</v>
      </c>
      <c r="C1271" s="617" t="s">
        <v>2939</v>
      </c>
      <c r="D1271" s="617" t="s">
        <v>49</v>
      </c>
      <c r="E1271" s="617" t="s">
        <v>4854</v>
      </c>
      <c r="F1271" s="617" t="s">
        <v>24</v>
      </c>
      <c r="G1271" s="624"/>
      <c r="O1271" s="616"/>
      <c r="P1271" s="616"/>
      <c r="Q1271" s="616"/>
      <c r="AA1271" s="624"/>
      <c r="AB1271" s="663">
        <v>39057210603</v>
      </c>
      <c r="AC1271" s="663" t="s">
        <v>6203</v>
      </c>
      <c r="AD1271" s="663" t="s">
        <v>4938</v>
      </c>
      <c r="AE1271" s="663" t="s">
        <v>4931</v>
      </c>
      <c r="AF1271" s="663" t="s">
        <v>4929</v>
      </c>
    </row>
    <row r="1272" spans="1:32" s="608" customFormat="1" x14ac:dyDescent="0.25">
      <c r="A1272" s="624"/>
      <c r="B1272" s="617">
        <v>39049010000</v>
      </c>
      <c r="C1272" s="617" t="s">
        <v>2940</v>
      </c>
      <c r="D1272" s="617" t="s">
        <v>49</v>
      </c>
      <c r="E1272" s="617" t="s">
        <v>4854</v>
      </c>
      <c r="F1272" s="617" t="s">
        <v>26</v>
      </c>
      <c r="G1272" s="624"/>
      <c r="O1272" s="616"/>
      <c r="P1272" s="616"/>
      <c r="Q1272" s="616"/>
      <c r="AA1272" s="624"/>
      <c r="AB1272" s="663">
        <v>39057220100</v>
      </c>
      <c r="AC1272" s="663" t="s">
        <v>6204</v>
      </c>
      <c r="AD1272" s="663" t="s">
        <v>4938</v>
      </c>
      <c r="AE1272" s="663" t="s">
        <v>4928</v>
      </c>
      <c r="AF1272" s="663" t="s">
        <v>4929</v>
      </c>
    </row>
    <row r="1273" spans="1:32" s="608" customFormat="1" x14ac:dyDescent="0.25">
      <c r="A1273" s="624"/>
      <c r="B1273" s="617">
        <v>39049010100</v>
      </c>
      <c r="C1273" s="617" t="s">
        <v>2941</v>
      </c>
      <c r="D1273" s="617" t="s">
        <v>49</v>
      </c>
      <c r="E1273" s="617" t="s">
        <v>4854</v>
      </c>
      <c r="F1273" s="617" t="s">
        <v>26</v>
      </c>
      <c r="G1273" s="624"/>
      <c r="O1273" s="616"/>
      <c r="P1273" s="616"/>
      <c r="Q1273" s="616"/>
      <c r="AA1273" s="624"/>
      <c r="AB1273" s="663">
        <v>39057220200</v>
      </c>
      <c r="AC1273" s="663" t="s">
        <v>6205</v>
      </c>
      <c r="AD1273" s="663" t="s">
        <v>4938</v>
      </c>
      <c r="AE1273" s="663" t="s">
        <v>4939</v>
      </c>
      <c r="AF1273" s="663" t="s">
        <v>4946</v>
      </c>
    </row>
    <row r="1274" spans="1:32" s="608" customFormat="1" x14ac:dyDescent="0.25">
      <c r="A1274" s="624"/>
      <c r="B1274" s="617">
        <v>39049010201</v>
      </c>
      <c r="C1274" s="617" t="s">
        <v>2942</v>
      </c>
      <c r="D1274" s="617" t="s">
        <v>49</v>
      </c>
      <c r="E1274" s="617" t="s">
        <v>4854</v>
      </c>
      <c r="F1274" s="617" t="s">
        <v>26</v>
      </c>
      <c r="G1274" s="624"/>
      <c r="O1274" s="616"/>
      <c r="P1274" s="616"/>
      <c r="Q1274" s="616"/>
      <c r="AA1274" s="624"/>
      <c r="AB1274" s="663">
        <v>39057230100</v>
      </c>
      <c r="AC1274" s="663" t="s">
        <v>6206</v>
      </c>
      <c r="AD1274" s="663" t="s">
        <v>4941</v>
      </c>
      <c r="AE1274" s="663" t="s">
        <v>4928</v>
      </c>
      <c r="AF1274" s="663" t="s">
        <v>4929</v>
      </c>
    </row>
    <row r="1275" spans="1:32" s="608" customFormat="1" x14ac:dyDescent="0.25">
      <c r="A1275" s="624"/>
      <c r="B1275" s="617">
        <v>39049010202</v>
      </c>
      <c r="C1275" s="617" t="s">
        <v>2943</v>
      </c>
      <c r="D1275" s="617" t="s">
        <v>49</v>
      </c>
      <c r="E1275" s="617" t="s">
        <v>4854</v>
      </c>
      <c r="F1275" s="617" t="s">
        <v>26</v>
      </c>
      <c r="G1275" s="624"/>
      <c r="O1275" s="616"/>
      <c r="P1275" s="616"/>
      <c r="Q1275" s="616"/>
      <c r="AA1275" s="624"/>
      <c r="AB1275" s="663">
        <v>39057240100</v>
      </c>
      <c r="AC1275" s="663" t="s">
        <v>6207</v>
      </c>
      <c r="AD1275" s="663" t="s">
        <v>4948</v>
      </c>
      <c r="AE1275" s="663" t="s">
        <v>4934</v>
      </c>
      <c r="AF1275" s="663" t="s">
        <v>4929</v>
      </c>
    </row>
    <row r="1276" spans="1:32" s="608" customFormat="1" x14ac:dyDescent="0.25">
      <c r="A1276" s="624"/>
      <c r="B1276" s="617">
        <v>39049010203</v>
      </c>
      <c r="C1276" s="617" t="s">
        <v>2944</v>
      </c>
      <c r="D1276" s="617" t="s">
        <v>49</v>
      </c>
      <c r="E1276" s="617" t="s">
        <v>4854</v>
      </c>
      <c r="F1276" s="617" t="s">
        <v>26</v>
      </c>
      <c r="G1276" s="624"/>
      <c r="O1276" s="616"/>
      <c r="P1276" s="616"/>
      <c r="Q1276" s="616"/>
      <c r="AA1276" s="624"/>
      <c r="AB1276" s="663">
        <v>39057240200</v>
      </c>
      <c r="AC1276" s="663" t="s">
        <v>6208</v>
      </c>
      <c r="AD1276" s="663" t="s">
        <v>4927</v>
      </c>
      <c r="AE1276" s="663" t="s">
        <v>4931</v>
      </c>
      <c r="AF1276" s="663" t="s">
        <v>4946</v>
      </c>
    </row>
    <row r="1277" spans="1:32" s="608" customFormat="1" x14ac:dyDescent="0.25">
      <c r="A1277" s="624"/>
      <c r="B1277" s="617">
        <v>39049010204</v>
      </c>
      <c r="C1277" s="617" t="s">
        <v>2945</v>
      </c>
      <c r="D1277" s="617" t="s">
        <v>49</v>
      </c>
      <c r="E1277" s="617" t="s">
        <v>4854</v>
      </c>
      <c r="F1277" s="617" t="s">
        <v>26</v>
      </c>
      <c r="G1277" s="624"/>
      <c r="O1277" s="616"/>
      <c r="P1277" s="616"/>
      <c r="Q1277" s="616"/>
      <c r="AA1277" s="624"/>
      <c r="AB1277" s="663">
        <v>39057240301</v>
      </c>
      <c r="AC1277" s="663" t="s">
        <v>6209</v>
      </c>
      <c r="AD1277" s="663" t="s">
        <v>4950</v>
      </c>
      <c r="AE1277" s="663" t="s">
        <v>4934</v>
      </c>
      <c r="AF1277" s="663" t="s">
        <v>4946</v>
      </c>
    </row>
    <row r="1278" spans="1:32" s="608" customFormat="1" x14ac:dyDescent="0.25">
      <c r="A1278" s="624"/>
      <c r="B1278" s="617">
        <v>39049010300</v>
      </c>
      <c r="C1278" s="617" t="s">
        <v>2946</v>
      </c>
      <c r="D1278" s="617" t="s">
        <v>49</v>
      </c>
      <c r="E1278" s="617" t="s">
        <v>4854</v>
      </c>
      <c r="F1278" s="617" t="s">
        <v>24</v>
      </c>
      <c r="G1278" s="624"/>
      <c r="O1278" s="616"/>
      <c r="P1278" s="616"/>
      <c r="Q1278" s="616"/>
      <c r="AA1278" s="624"/>
      <c r="AB1278" s="663">
        <v>39057240302</v>
      </c>
      <c r="AC1278" s="663" t="s">
        <v>6210</v>
      </c>
      <c r="AD1278" s="663" t="s">
        <v>4927</v>
      </c>
      <c r="AE1278" s="663" t="s">
        <v>4931</v>
      </c>
      <c r="AF1278" s="663" t="s">
        <v>4929</v>
      </c>
    </row>
    <row r="1279" spans="1:32" s="608" customFormat="1" x14ac:dyDescent="0.25">
      <c r="A1279" s="624"/>
      <c r="B1279" s="617">
        <v>39049010401</v>
      </c>
      <c r="C1279" s="617" t="s">
        <v>2947</v>
      </c>
      <c r="D1279" s="617" t="s">
        <v>49</v>
      </c>
      <c r="E1279" s="617" t="s">
        <v>4854</v>
      </c>
      <c r="F1279" s="617" t="s">
        <v>26</v>
      </c>
      <c r="G1279" s="624"/>
      <c r="O1279" s="616"/>
      <c r="P1279" s="616"/>
      <c r="Q1279" s="616"/>
      <c r="AA1279" s="624"/>
      <c r="AB1279" s="663">
        <v>39057240500</v>
      </c>
      <c r="AC1279" s="663" t="s">
        <v>6211</v>
      </c>
      <c r="AD1279" s="663" t="s">
        <v>4950</v>
      </c>
      <c r="AE1279" s="663" t="s">
        <v>4934</v>
      </c>
      <c r="AF1279" s="663" t="s">
        <v>4946</v>
      </c>
    </row>
    <row r="1280" spans="1:32" s="608" customFormat="1" x14ac:dyDescent="0.25">
      <c r="A1280" s="624"/>
      <c r="B1280" s="617">
        <v>39049010402</v>
      </c>
      <c r="C1280" s="617" t="s">
        <v>2948</v>
      </c>
      <c r="D1280" s="617" t="s">
        <v>49</v>
      </c>
      <c r="E1280" s="617" t="s">
        <v>4854</v>
      </c>
      <c r="F1280" s="617" t="s">
        <v>26</v>
      </c>
      <c r="G1280" s="624"/>
      <c r="O1280" s="616"/>
      <c r="P1280" s="616"/>
      <c r="Q1280" s="616"/>
      <c r="AA1280" s="624"/>
      <c r="AB1280" s="663">
        <v>39057240600</v>
      </c>
      <c r="AC1280" s="663" t="s">
        <v>6212</v>
      </c>
      <c r="AD1280" s="663" t="s">
        <v>4927</v>
      </c>
      <c r="AE1280" s="663" t="s">
        <v>4931</v>
      </c>
      <c r="AF1280" s="663" t="s">
        <v>4929</v>
      </c>
    </row>
    <row r="1281" spans="1:32" s="608" customFormat="1" x14ac:dyDescent="0.25">
      <c r="A1281" s="624"/>
      <c r="B1281" s="617">
        <v>39049010501</v>
      </c>
      <c r="C1281" s="617" t="s">
        <v>2949</v>
      </c>
      <c r="D1281" s="617" t="s">
        <v>49</v>
      </c>
      <c r="E1281" s="617" t="s">
        <v>4854</v>
      </c>
      <c r="F1281" s="617" t="s">
        <v>26</v>
      </c>
      <c r="G1281" s="624"/>
      <c r="O1281" s="616"/>
      <c r="P1281" s="616"/>
      <c r="Q1281" s="616"/>
      <c r="AA1281" s="624"/>
      <c r="AB1281" s="663">
        <v>39057240700</v>
      </c>
      <c r="AC1281" s="663" t="s">
        <v>6213</v>
      </c>
      <c r="AD1281" s="663" t="s">
        <v>4950</v>
      </c>
      <c r="AE1281" s="663" t="s">
        <v>4928</v>
      </c>
      <c r="AF1281" s="663" t="s">
        <v>4929</v>
      </c>
    </row>
    <row r="1282" spans="1:32" s="608" customFormat="1" x14ac:dyDescent="0.25">
      <c r="A1282" s="624"/>
      <c r="B1282" s="617">
        <v>39049010502</v>
      </c>
      <c r="C1282" s="617" t="s">
        <v>2950</v>
      </c>
      <c r="D1282" s="617" t="s">
        <v>49</v>
      </c>
      <c r="E1282" s="617" t="s">
        <v>4854</v>
      </c>
      <c r="F1282" s="617" t="s">
        <v>26</v>
      </c>
      <c r="G1282" s="624"/>
      <c r="O1282" s="616"/>
      <c r="P1282" s="616"/>
      <c r="Q1282" s="616"/>
      <c r="AA1282" s="624"/>
      <c r="AB1282" s="663">
        <v>39057255000</v>
      </c>
      <c r="AC1282" s="663" t="s">
        <v>6214</v>
      </c>
      <c r="AD1282" s="663" t="s">
        <v>4938</v>
      </c>
      <c r="AE1282" s="663" t="s">
        <v>4934</v>
      </c>
      <c r="AF1282" s="663" t="s">
        <v>4929</v>
      </c>
    </row>
    <row r="1283" spans="1:32" s="608" customFormat="1" x14ac:dyDescent="0.25">
      <c r="A1283" s="624"/>
      <c r="B1283" s="617">
        <v>39049010601</v>
      </c>
      <c r="C1283" s="617" t="s">
        <v>2951</v>
      </c>
      <c r="D1283" s="617" t="s">
        <v>49</v>
      </c>
      <c r="E1283" s="617" t="s">
        <v>4854</v>
      </c>
      <c r="F1283" s="617" t="s">
        <v>26</v>
      </c>
      <c r="G1283" s="624"/>
      <c r="O1283" s="616"/>
      <c r="P1283" s="616"/>
      <c r="Q1283" s="616"/>
      <c r="AA1283" s="624"/>
      <c r="AB1283" s="663">
        <v>39057260100</v>
      </c>
      <c r="AC1283" s="663" t="s">
        <v>6215</v>
      </c>
      <c r="AD1283" s="663" t="s">
        <v>4938</v>
      </c>
      <c r="AE1283" s="663" t="s">
        <v>4931</v>
      </c>
      <c r="AF1283" s="663" t="s">
        <v>4929</v>
      </c>
    </row>
    <row r="1284" spans="1:32" s="608" customFormat="1" x14ac:dyDescent="0.25">
      <c r="A1284" s="624"/>
      <c r="B1284" s="617">
        <v>39049010602</v>
      </c>
      <c r="C1284" s="617" t="s">
        <v>2952</v>
      </c>
      <c r="D1284" s="617" t="s">
        <v>49</v>
      </c>
      <c r="E1284" s="617" t="s">
        <v>4854</v>
      </c>
      <c r="F1284" s="617" t="s">
        <v>26</v>
      </c>
      <c r="G1284" s="624"/>
      <c r="O1284" s="616"/>
      <c r="P1284" s="616"/>
      <c r="Q1284" s="616"/>
      <c r="AA1284" s="624"/>
      <c r="AB1284" s="663">
        <v>39057270100</v>
      </c>
      <c r="AC1284" s="663" t="s">
        <v>6216</v>
      </c>
      <c r="AD1284" s="663" t="s">
        <v>4950</v>
      </c>
      <c r="AE1284" s="663" t="s">
        <v>4928</v>
      </c>
      <c r="AF1284" s="663" t="s">
        <v>4929</v>
      </c>
    </row>
    <row r="1285" spans="1:32" s="608" customFormat="1" x14ac:dyDescent="0.25">
      <c r="A1285" s="624"/>
      <c r="B1285" s="617">
        <v>39049010700</v>
      </c>
      <c r="C1285" s="617" t="s">
        <v>2953</v>
      </c>
      <c r="D1285" s="617" t="s">
        <v>49</v>
      </c>
      <c r="E1285" s="617" t="s">
        <v>4854</v>
      </c>
      <c r="F1285" s="617" t="s">
        <v>26</v>
      </c>
      <c r="G1285" s="624"/>
      <c r="O1285" s="616"/>
      <c r="P1285" s="616"/>
      <c r="Q1285" s="616"/>
      <c r="AA1285" s="624"/>
      <c r="AB1285" s="663">
        <v>39057280101</v>
      </c>
      <c r="AC1285" s="663" t="s">
        <v>6217</v>
      </c>
      <c r="AD1285" s="663" t="s">
        <v>4948</v>
      </c>
      <c r="AE1285" s="663" t="s">
        <v>4942</v>
      </c>
      <c r="AF1285" s="663" t="s">
        <v>4929</v>
      </c>
    </row>
    <row r="1286" spans="1:32" s="608" customFormat="1" x14ac:dyDescent="0.25">
      <c r="A1286" s="624"/>
      <c r="B1286" s="617">
        <v>39049010900</v>
      </c>
      <c r="C1286" s="617" t="s">
        <v>2954</v>
      </c>
      <c r="D1286" s="617" t="s">
        <v>49</v>
      </c>
      <c r="E1286" s="617" t="s">
        <v>4854</v>
      </c>
      <c r="F1286" s="617" t="s">
        <v>26</v>
      </c>
      <c r="G1286" s="624"/>
      <c r="O1286" s="616"/>
      <c r="P1286" s="616"/>
      <c r="Q1286" s="616"/>
      <c r="AA1286" s="624"/>
      <c r="AB1286" s="663">
        <v>39057280102</v>
      </c>
      <c r="AC1286" s="663" t="s">
        <v>6218</v>
      </c>
      <c r="AD1286" s="663" t="s">
        <v>4948</v>
      </c>
      <c r="AE1286" s="663" t="s">
        <v>4928</v>
      </c>
      <c r="AF1286" s="663" t="s">
        <v>4929</v>
      </c>
    </row>
    <row r="1287" spans="1:32" s="608" customFormat="1" x14ac:dyDescent="0.25">
      <c r="A1287" s="624"/>
      <c r="B1287" s="617">
        <v>39049980000</v>
      </c>
      <c r="C1287" s="617" t="s">
        <v>2955</v>
      </c>
      <c r="D1287" s="617" t="s">
        <v>49</v>
      </c>
      <c r="E1287" s="617" t="s">
        <v>4854</v>
      </c>
      <c r="F1287" s="617" t="s">
        <v>26</v>
      </c>
      <c r="G1287" s="624"/>
      <c r="O1287" s="616"/>
      <c r="P1287" s="616"/>
      <c r="Q1287" s="616"/>
      <c r="AA1287" s="624"/>
      <c r="AB1287" s="663">
        <v>39057280200</v>
      </c>
      <c r="AC1287" s="663" t="s">
        <v>6219</v>
      </c>
      <c r="AD1287" s="663" t="s">
        <v>4938</v>
      </c>
      <c r="AE1287" s="663" t="s">
        <v>4942</v>
      </c>
      <c r="AF1287" s="663" t="s">
        <v>4929</v>
      </c>
    </row>
    <row r="1288" spans="1:32" s="608" customFormat="1" x14ac:dyDescent="0.25">
      <c r="A1288" s="624"/>
      <c r="B1288" s="617">
        <v>39051040100</v>
      </c>
      <c r="C1288" s="617" t="s">
        <v>2956</v>
      </c>
      <c r="D1288" s="617" t="s">
        <v>50</v>
      </c>
      <c r="E1288" s="617" t="s">
        <v>4855</v>
      </c>
      <c r="F1288" s="617" t="s">
        <v>26</v>
      </c>
      <c r="G1288" s="624"/>
      <c r="O1288" s="616"/>
      <c r="P1288" s="616"/>
      <c r="Q1288" s="616"/>
      <c r="AA1288" s="624"/>
      <c r="AB1288" s="663">
        <v>39057280300</v>
      </c>
      <c r="AC1288" s="663" t="s">
        <v>6220</v>
      </c>
      <c r="AD1288" s="663" t="s">
        <v>4938</v>
      </c>
      <c r="AE1288" s="663" t="s">
        <v>4928</v>
      </c>
      <c r="AF1288" s="663" t="s">
        <v>4929</v>
      </c>
    </row>
    <row r="1289" spans="1:32" s="608" customFormat="1" x14ac:dyDescent="0.25">
      <c r="A1289" s="624"/>
      <c r="B1289" s="617">
        <v>39051040200</v>
      </c>
      <c r="C1289" s="617" t="s">
        <v>2957</v>
      </c>
      <c r="D1289" s="617" t="s">
        <v>50</v>
      </c>
      <c r="E1289" s="617" t="s">
        <v>4855</v>
      </c>
      <c r="F1289" s="617" t="s">
        <v>26</v>
      </c>
      <c r="G1289" s="624"/>
      <c r="O1289" s="616"/>
      <c r="P1289" s="616"/>
      <c r="Q1289" s="616"/>
      <c r="AA1289" s="624"/>
      <c r="AB1289" s="663">
        <v>39059977100</v>
      </c>
      <c r="AC1289" s="663" t="s">
        <v>6221</v>
      </c>
      <c r="AD1289" s="663" t="s">
        <v>4927</v>
      </c>
      <c r="AE1289" s="663" t="s">
        <v>4939</v>
      </c>
      <c r="AF1289" s="663" t="s">
        <v>4929</v>
      </c>
    </row>
    <row r="1290" spans="1:32" s="608" customFormat="1" x14ac:dyDescent="0.25">
      <c r="A1290" s="624"/>
      <c r="B1290" s="617">
        <v>39051040300</v>
      </c>
      <c r="C1290" s="617" t="s">
        <v>2958</v>
      </c>
      <c r="D1290" s="617" t="s">
        <v>50</v>
      </c>
      <c r="E1290" s="617" t="s">
        <v>4855</v>
      </c>
      <c r="F1290" s="617" t="s">
        <v>26</v>
      </c>
      <c r="G1290" s="624"/>
      <c r="O1290" s="616"/>
      <c r="P1290" s="616"/>
      <c r="Q1290" s="616"/>
      <c r="AA1290" s="624"/>
      <c r="AB1290" s="663">
        <v>39059977200</v>
      </c>
      <c r="AC1290" s="663" t="s">
        <v>6222</v>
      </c>
      <c r="AD1290" s="663" t="s">
        <v>4950</v>
      </c>
      <c r="AE1290" s="663" t="s">
        <v>4942</v>
      </c>
      <c r="AF1290" s="663" t="s">
        <v>4929</v>
      </c>
    </row>
    <row r="1291" spans="1:32" s="608" customFormat="1" x14ac:dyDescent="0.25">
      <c r="A1291" s="624"/>
      <c r="B1291" s="617">
        <v>39051040400</v>
      </c>
      <c r="C1291" s="617" t="s">
        <v>2959</v>
      </c>
      <c r="D1291" s="617" t="s">
        <v>50</v>
      </c>
      <c r="E1291" s="617" t="s">
        <v>4855</v>
      </c>
      <c r="F1291" s="617" t="s">
        <v>26</v>
      </c>
      <c r="G1291" s="624"/>
      <c r="O1291" s="616"/>
      <c r="P1291" s="616"/>
      <c r="Q1291" s="616"/>
      <c r="AA1291" s="624"/>
      <c r="AB1291" s="663">
        <v>39059977300</v>
      </c>
      <c r="AC1291" s="663" t="s">
        <v>6223</v>
      </c>
      <c r="AD1291" s="663" t="s">
        <v>4927</v>
      </c>
      <c r="AE1291" s="663" t="s">
        <v>4928</v>
      </c>
      <c r="AF1291" s="663" t="s">
        <v>4929</v>
      </c>
    </row>
    <row r="1292" spans="1:32" s="608" customFormat="1" x14ac:dyDescent="0.25">
      <c r="A1292" s="624"/>
      <c r="B1292" s="617">
        <v>39051040500</v>
      </c>
      <c r="C1292" s="617" t="s">
        <v>2960</v>
      </c>
      <c r="D1292" s="617" t="s">
        <v>50</v>
      </c>
      <c r="E1292" s="617" t="s">
        <v>4855</v>
      </c>
      <c r="F1292" s="617" t="s">
        <v>26</v>
      </c>
      <c r="G1292" s="624"/>
      <c r="O1292" s="616"/>
      <c r="P1292" s="616"/>
      <c r="Q1292" s="616"/>
      <c r="AA1292" s="624"/>
      <c r="AB1292" s="663">
        <v>39059977400</v>
      </c>
      <c r="AC1292" s="663" t="s">
        <v>6224</v>
      </c>
      <c r="AD1292" s="663" t="s">
        <v>4950</v>
      </c>
      <c r="AE1292" s="663" t="s">
        <v>4928</v>
      </c>
      <c r="AF1292" s="663" t="s">
        <v>4929</v>
      </c>
    </row>
    <row r="1293" spans="1:32" s="608" customFormat="1" x14ac:dyDescent="0.25">
      <c r="A1293" s="624"/>
      <c r="B1293" s="617">
        <v>39051040600</v>
      </c>
      <c r="C1293" s="617" t="s">
        <v>2961</v>
      </c>
      <c r="D1293" s="617" t="s">
        <v>50</v>
      </c>
      <c r="E1293" s="617" t="s">
        <v>4855</v>
      </c>
      <c r="F1293" s="617" t="s">
        <v>26</v>
      </c>
      <c r="G1293" s="624"/>
      <c r="O1293" s="616"/>
      <c r="P1293" s="616"/>
      <c r="Q1293" s="616"/>
      <c r="AA1293" s="624"/>
      <c r="AB1293" s="663">
        <v>39059977500</v>
      </c>
      <c r="AC1293" s="663" t="s">
        <v>6225</v>
      </c>
      <c r="AD1293" s="663" t="s">
        <v>4948</v>
      </c>
      <c r="AE1293" s="663" t="s">
        <v>4942</v>
      </c>
      <c r="AF1293" s="663" t="s">
        <v>4983</v>
      </c>
    </row>
    <row r="1294" spans="1:32" s="608" customFormat="1" x14ac:dyDescent="0.25">
      <c r="A1294" s="624"/>
      <c r="B1294" s="617">
        <v>39051040701</v>
      </c>
      <c r="C1294" s="617" t="s">
        <v>2962</v>
      </c>
      <c r="D1294" s="617" t="s">
        <v>50</v>
      </c>
      <c r="E1294" s="617" t="s">
        <v>4855</v>
      </c>
      <c r="F1294" s="617" t="s">
        <v>26</v>
      </c>
      <c r="G1294" s="624"/>
      <c r="O1294" s="616"/>
      <c r="P1294" s="616"/>
      <c r="Q1294" s="616"/>
      <c r="AA1294" s="624"/>
      <c r="AB1294" s="663">
        <v>39059977600</v>
      </c>
      <c r="AC1294" s="663" t="s">
        <v>6226</v>
      </c>
      <c r="AD1294" s="663" t="s">
        <v>4927</v>
      </c>
      <c r="AE1294" s="663" t="s">
        <v>4931</v>
      </c>
      <c r="AF1294" s="663" t="s">
        <v>4983</v>
      </c>
    </row>
    <row r="1295" spans="1:32" s="608" customFormat="1" x14ac:dyDescent="0.25">
      <c r="A1295" s="624"/>
      <c r="B1295" s="617">
        <v>39051040702</v>
      </c>
      <c r="C1295" s="617" t="s">
        <v>2963</v>
      </c>
      <c r="D1295" s="617" t="s">
        <v>50</v>
      </c>
      <c r="E1295" s="617" t="s">
        <v>4855</v>
      </c>
      <c r="F1295" s="617" t="s">
        <v>26</v>
      </c>
      <c r="G1295" s="624"/>
      <c r="O1295" s="616"/>
      <c r="P1295" s="616"/>
      <c r="Q1295" s="616"/>
      <c r="AA1295" s="624"/>
      <c r="AB1295" s="663">
        <v>39059977700</v>
      </c>
      <c r="AC1295" s="663" t="s">
        <v>6227</v>
      </c>
      <c r="AD1295" s="663" t="s">
        <v>4948</v>
      </c>
      <c r="AE1295" s="663" t="s">
        <v>4928</v>
      </c>
      <c r="AF1295" s="663" t="s">
        <v>4929</v>
      </c>
    </row>
    <row r="1296" spans="1:32" s="608" customFormat="1" x14ac:dyDescent="0.25">
      <c r="A1296" s="624"/>
      <c r="B1296" s="617">
        <v>39051040800</v>
      </c>
      <c r="C1296" s="617" t="s">
        <v>2964</v>
      </c>
      <c r="D1296" s="617" t="s">
        <v>50</v>
      </c>
      <c r="E1296" s="617" t="s">
        <v>4855</v>
      </c>
      <c r="F1296" s="617" t="s">
        <v>26</v>
      </c>
      <c r="G1296" s="624"/>
      <c r="O1296" s="616"/>
      <c r="P1296" s="616"/>
      <c r="Q1296" s="616"/>
      <c r="AA1296" s="624"/>
      <c r="AB1296" s="663">
        <v>39059977800</v>
      </c>
      <c r="AC1296" s="663" t="s">
        <v>6228</v>
      </c>
      <c r="AD1296" s="663" t="s">
        <v>4950</v>
      </c>
      <c r="AE1296" s="663" t="s">
        <v>4931</v>
      </c>
      <c r="AF1296" s="663" t="s">
        <v>4929</v>
      </c>
    </row>
    <row r="1297" spans="1:32" s="608" customFormat="1" x14ac:dyDescent="0.25">
      <c r="A1297" s="624"/>
      <c r="B1297" s="617">
        <v>39051040900</v>
      </c>
      <c r="C1297" s="617" t="s">
        <v>2965</v>
      </c>
      <c r="D1297" s="617" t="s">
        <v>50</v>
      </c>
      <c r="E1297" s="617" t="s">
        <v>4855</v>
      </c>
      <c r="F1297" s="617" t="s">
        <v>26</v>
      </c>
      <c r="G1297" s="624"/>
      <c r="O1297" s="616"/>
      <c r="P1297" s="616"/>
      <c r="Q1297" s="616"/>
      <c r="AA1297" s="624"/>
      <c r="AB1297" s="663">
        <v>39059977900</v>
      </c>
      <c r="AC1297" s="663" t="s">
        <v>6229</v>
      </c>
      <c r="AD1297" s="663" t="s">
        <v>4927</v>
      </c>
      <c r="AE1297" s="663" t="s">
        <v>4934</v>
      </c>
      <c r="AF1297" s="663" t="s">
        <v>4929</v>
      </c>
    </row>
    <row r="1298" spans="1:32" s="608" customFormat="1" x14ac:dyDescent="0.25">
      <c r="A1298" s="624"/>
      <c r="B1298" s="617">
        <v>39053953500</v>
      </c>
      <c r="C1298" s="617" t="s">
        <v>2966</v>
      </c>
      <c r="D1298" s="617" t="s">
        <v>51</v>
      </c>
      <c r="E1298" s="617" t="s">
        <v>1672</v>
      </c>
      <c r="F1298" s="617" t="s">
        <v>26</v>
      </c>
      <c r="G1298" s="624"/>
      <c r="O1298" s="616"/>
      <c r="P1298" s="616"/>
      <c r="Q1298" s="616"/>
      <c r="AA1298" s="624"/>
      <c r="AB1298" s="663">
        <v>39059978000</v>
      </c>
      <c r="AC1298" s="663" t="s">
        <v>6230</v>
      </c>
      <c r="AD1298" s="663" t="s">
        <v>4950</v>
      </c>
      <c r="AE1298" s="663" t="s">
        <v>4942</v>
      </c>
      <c r="AF1298" s="663" t="s">
        <v>4929</v>
      </c>
    </row>
    <row r="1299" spans="1:32" s="608" customFormat="1" x14ac:dyDescent="0.25">
      <c r="A1299" s="624"/>
      <c r="B1299" s="617">
        <v>39053953600</v>
      </c>
      <c r="C1299" s="617" t="s">
        <v>2967</v>
      </c>
      <c r="D1299" s="617" t="s">
        <v>51</v>
      </c>
      <c r="E1299" s="617" t="s">
        <v>1672</v>
      </c>
      <c r="F1299" s="617" t="s">
        <v>26</v>
      </c>
      <c r="G1299" s="624"/>
      <c r="O1299" s="616"/>
      <c r="P1299" s="616"/>
      <c r="Q1299" s="616"/>
      <c r="AA1299" s="624"/>
      <c r="AB1299" s="663">
        <v>39061000200</v>
      </c>
      <c r="AC1299" s="663" t="s">
        <v>6231</v>
      </c>
      <c r="AD1299" s="663" t="s">
        <v>4927</v>
      </c>
      <c r="AE1299" s="663" t="s">
        <v>4942</v>
      </c>
      <c r="AF1299" s="663" t="s">
        <v>4962</v>
      </c>
    </row>
    <row r="1300" spans="1:32" s="608" customFormat="1" x14ac:dyDescent="0.25">
      <c r="A1300" s="624"/>
      <c r="B1300" s="617">
        <v>39053953700</v>
      </c>
      <c r="C1300" s="617" t="s">
        <v>2968</v>
      </c>
      <c r="D1300" s="617" t="s">
        <v>51</v>
      </c>
      <c r="E1300" s="617" t="s">
        <v>1672</v>
      </c>
      <c r="F1300" s="617" t="s">
        <v>24</v>
      </c>
      <c r="G1300" s="624"/>
      <c r="O1300" s="616"/>
      <c r="P1300" s="616"/>
      <c r="Q1300" s="616"/>
      <c r="AA1300" s="624"/>
      <c r="AB1300" s="663">
        <v>39061000700</v>
      </c>
      <c r="AC1300" s="663" t="s">
        <v>6232</v>
      </c>
      <c r="AD1300" s="663" t="s">
        <v>4938</v>
      </c>
      <c r="AE1300" s="663" t="s">
        <v>4939</v>
      </c>
      <c r="AF1300" s="663" t="s">
        <v>4962</v>
      </c>
    </row>
    <row r="1301" spans="1:32" s="608" customFormat="1" x14ac:dyDescent="0.25">
      <c r="A1301" s="624"/>
      <c r="B1301" s="617">
        <v>39053953800</v>
      </c>
      <c r="C1301" s="617" t="s">
        <v>2969</v>
      </c>
      <c r="D1301" s="617" t="s">
        <v>51</v>
      </c>
      <c r="E1301" s="617" t="s">
        <v>1672</v>
      </c>
      <c r="F1301" s="617" t="s">
        <v>26</v>
      </c>
      <c r="G1301" s="624"/>
      <c r="O1301" s="616"/>
      <c r="P1301" s="616"/>
      <c r="Q1301" s="616"/>
      <c r="AA1301" s="624"/>
      <c r="AB1301" s="663">
        <v>39061000900</v>
      </c>
      <c r="AC1301" s="663" t="s">
        <v>6233</v>
      </c>
      <c r="AD1301" s="663" t="s">
        <v>4941</v>
      </c>
      <c r="AE1301" s="663" t="s">
        <v>5332</v>
      </c>
      <c r="AF1301" s="663" t="s">
        <v>4962</v>
      </c>
    </row>
    <row r="1302" spans="1:32" s="608" customFormat="1" x14ac:dyDescent="0.25">
      <c r="A1302" s="624"/>
      <c r="B1302" s="617">
        <v>39053953901</v>
      </c>
      <c r="C1302" s="617" t="s">
        <v>2970</v>
      </c>
      <c r="D1302" s="617" t="s">
        <v>51</v>
      </c>
      <c r="E1302" s="617" t="s">
        <v>1672</v>
      </c>
      <c r="F1302" s="617" t="s">
        <v>26</v>
      </c>
      <c r="G1302" s="624"/>
      <c r="O1302" s="616"/>
      <c r="P1302" s="616"/>
      <c r="Q1302" s="616"/>
      <c r="AA1302" s="624"/>
      <c r="AB1302" s="663">
        <v>39061001000</v>
      </c>
      <c r="AC1302" s="663" t="s">
        <v>6234</v>
      </c>
      <c r="AD1302" s="663" t="s">
        <v>4938</v>
      </c>
      <c r="AE1302" s="663" t="s">
        <v>5332</v>
      </c>
      <c r="AF1302" s="663" t="s">
        <v>4962</v>
      </c>
    </row>
    <row r="1303" spans="1:32" s="608" customFormat="1" x14ac:dyDescent="0.25">
      <c r="A1303" s="624"/>
      <c r="B1303" s="617">
        <v>39053953902</v>
      </c>
      <c r="C1303" s="617" t="s">
        <v>2971</v>
      </c>
      <c r="D1303" s="617" t="s">
        <v>51</v>
      </c>
      <c r="E1303" s="617" t="s">
        <v>1672</v>
      </c>
      <c r="F1303" s="617" t="s">
        <v>26</v>
      </c>
      <c r="G1303" s="624"/>
      <c r="O1303" s="616"/>
      <c r="P1303" s="616"/>
      <c r="Q1303" s="616"/>
      <c r="AA1303" s="624"/>
      <c r="AB1303" s="663">
        <v>39061001100</v>
      </c>
      <c r="AC1303" s="663" t="s">
        <v>6235</v>
      </c>
      <c r="AD1303" s="663" t="s">
        <v>4938</v>
      </c>
      <c r="AE1303" s="663" t="s">
        <v>5332</v>
      </c>
      <c r="AF1303" s="663" t="s">
        <v>4962</v>
      </c>
    </row>
    <row r="1304" spans="1:32" s="608" customFormat="1" x14ac:dyDescent="0.25">
      <c r="A1304" s="624"/>
      <c r="B1304" s="617">
        <v>39053954000</v>
      </c>
      <c r="C1304" s="617" t="s">
        <v>2972</v>
      </c>
      <c r="D1304" s="617" t="s">
        <v>51</v>
      </c>
      <c r="E1304" s="617" t="s">
        <v>1672</v>
      </c>
      <c r="F1304" s="617" t="s">
        <v>24</v>
      </c>
      <c r="G1304" s="624"/>
      <c r="O1304" s="616"/>
      <c r="P1304" s="616"/>
      <c r="Q1304" s="616"/>
      <c r="AA1304" s="624"/>
      <c r="AB1304" s="663">
        <v>39061001600</v>
      </c>
      <c r="AC1304" s="663" t="s">
        <v>6236</v>
      </c>
      <c r="AD1304" s="663" t="s">
        <v>4950</v>
      </c>
      <c r="AE1304" s="663" t="s">
        <v>4939</v>
      </c>
      <c r="AF1304" s="663" t="s">
        <v>4962</v>
      </c>
    </row>
    <row r="1305" spans="1:32" s="608" customFormat="1" x14ac:dyDescent="0.25">
      <c r="A1305" s="624"/>
      <c r="B1305" s="617">
        <v>39053954100</v>
      </c>
      <c r="C1305" s="617" t="s">
        <v>2973</v>
      </c>
      <c r="D1305" s="617" t="s">
        <v>51</v>
      </c>
      <c r="E1305" s="617" t="s">
        <v>1672</v>
      </c>
      <c r="F1305" s="617" t="s">
        <v>26</v>
      </c>
      <c r="G1305" s="624"/>
      <c r="O1305" s="616"/>
      <c r="P1305" s="616"/>
      <c r="Q1305" s="616"/>
      <c r="AA1305" s="624"/>
      <c r="AB1305" s="663">
        <v>39061001700</v>
      </c>
      <c r="AC1305" s="663" t="s">
        <v>6237</v>
      </c>
      <c r="AD1305" s="663" t="s">
        <v>4948</v>
      </c>
      <c r="AE1305" s="663" t="s">
        <v>5332</v>
      </c>
      <c r="AF1305" s="663" t="s">
        <v>4962</v>
      </c>
    </row>
    <row r="1306" spans="1:32" s="608" customFormat="1" x14ac:dyDescent="0.25">
      <c r="A1306" s="624"/>
      <c r="B1306" s="617">
        <v>39055310100</v>
      </c>
      <c r="C1306" s="617" t="s">
        <v>2974</v>
      </c>
      <c r="D1306" s="617" t="s">
        <v>52</v>
      </c>
      <c r="E1306" s="617" t="s">
        <v>4853</v>
      </c>
      <c r="F1306" s="617" t="s">
        <v>26</v>
      </c>
      <c r="G1306" s="624"/>
      <c r="O1306" s="616"/>
      <c r="P1306" s="616"/>
      <c r="Q1306" s="616"/>
      <c r="AA1306" s="624"/>
      <c r="AB1306" s="663">
        <v>39061001800</v>
      </c>
      <c r="AC1306" s="663" t="s">
        <v>6238</v>
      </c>
      <c r="AD1306" s="663" t="s">
        <v>4938</v>
      </c>
      <c r="AE1306" s="663" t="s">
        <v>4931</v>
      </c>
      <c r="AF1306" s="663" t="s">
        <v>4962</v>
      </c>
    </row>
    <row r="1307" spans="1:32" s="608" customFormat="1" x14ac:dyDescent="0.25">
      <c r="A1307" s="624"/>
      <c r="B1307" s="617">
        <v>39055310200</v>
      </c>
      <c r="C1307" s="617" t="s">
        <v>2975</v>
      </c>
      <c r="D1307" s="617" t="s">
        <v>52</v>
      </c>
      <c r="E1307" s="617" t="s">
        <v>4853</v>
      </c>
      <c r="F1307" s="617" t="s">
        <v>26</v>
      </c>
      <c r="G1307" s="624"/>
      <c r="O1307" s="616"/>
      <c r="P1307" s="616"/>
      <c r="Q1307" s="616"/>
      <c r="AA1307" s="624"/>
      <c r="AB1307" s="663">
        <v>39061001900</v>
      </c>
      <c r="AC1307" s="663" t="s">
        <v>6239</v>
      </c>
      <c r="AD1307" s="663" t="s">
        <v>4938</v>
      </c>
      <c r="AE1307" s="663" t="s">
        <v>4928</v>
      </c>
      <c r="AF1307" s="663" t="s">
        <v>4962</v>
      </c>
    </row>
    <row r="1308" spans="1:32" s="608" customFormat="1" x14ac:dyDescent="0.25">
      <c r="A1308" s="624"/>
      <c r="B1308" s="617">
        <v>39055310600</v>
      </c>
      <c r="C1308" s="617" t="s">
        <v>2976</v>
      </c>
      <c r="D1308" s="617" t="s">
        <v>52</v>
      </c>
      <c r="E1308" s="617" t="s">
        <v>4853</v>
      </c>
      <c r="F1308" s="617" t="s">
        <v>26</v>
      </c>
      <c r="G1308" s="624"/>
      <c r="O1308" s="616"/>
      <c r="P1308" s="616"/>
      <c r="Q1308" s="616"/>
      <c r="AA1308" s="624"/>
      <c r="AB1308" s="663">
        <v>39061002000</v>
      </c>
      <c r="AC1308" s="663" t="s">
        <v>6240</v>
      </c>
      <c r="AD1308" s="663" t="s">
        <v>4938</v>
      </c>
      <c r="AE1308" s="663" t="s">
        <v>4939</v>
      </c>
      <c r="AF1308" s="663" t="s">
        <v>4962</v>
      </c>
    </row>
    <row r="1309" spans="1:32" s="608" customFormat="1" x14ac:dyDescent="0.25">
      <c r="A1309" s="624"/>
      <c r="B1309" s="617">
        <v>39055310700</v>
      </c>
      <c r="C1309" s="617" t="s">
        <v>2977</v>
      </c>
      <c r="D1309" s="617" t="s">
        <v>52</v>
      </c>
      <c r="E1309" s="617" t="s">
        <v>4853</v>
      </c>
      <c r="F1309" s="617" t="s">
        <v>26</v>
      </c>
      <c r="G1309" s="624"/>
      <c r="O1309" s="616"/>
      <c r="P1309" s="616"/>
      <c r="Q1309" s="616"/>
      <c r="AA1309" s="624"/>
      <c r="AB1309" s="663">
        <v>39061002200</v>
      </c>
      <c r="AC1309" s="663" t="s">
        <v>6241</v>
      </c>
      <c r="AD1309" s="663" t="s">
        <v>4950</v>
      </c>
      <c r="AE1309" s="663" t="s">
        <v>4934</v>
      </c>
      <c r="AF1309" s="663" t="s">
        <v>4962</v>
      </c>
    </row>
    <row r="1310" spans="1:32" s="608" customFormat="1" x14ac:dyDescent="0.25">
      <c r="A1310" s="624"/>
      <c r="B1310" s="617">
        <v>39055310800</v>
      </c>
      <c r="C1310" s="617" t="s">
        <v>2978</v>
      </c>
      <c r="D1310" s="617" t="s">
        <v>52</v>
      </c>
      <c r="E1310" s="617" t="s">
        <v>4853</v>
      </c>
      <c r="F1310" s="617" t="s">
        <v>26</v>
      </c>
      <c r="G1310" s="624"/>
      <c r="O1310" s="616"/>
      <c r="P1310" s="616"/>
      <c r="Q1310" s="616"/>
      <c r="AA1310" s="624"/>
      <c r="AB1310" s="663">
        <v>39061002300</v>
      </c>
      <c r="AC1310" s="663" t="s">
        <v>6242</v>
      </c>
      <c r="AD1310" s="663" t="s">
        <v>4941</v>
      </c>
      <c r="AE1310" s="663" t="s">
        <v>4939</v>
      </c>
      <c r="AF1310" s="663" t="s">
        <v>4962</v>
      </c>
    </row>
    <row r="1311" spans="1:32" s="608" customFormat="1" x14ac:dyDescent="0.25">
      <c r="A1311" s="624"/>
      <c r="B1311" s="617">
        <v>39055310900</v>
      </c>
      <c r="C1311" s="617" t="s">
        <v>2979</v>
      </c>
      <c r="D1311" s="617" t="s">
        <v>52</v>
      </c>
      <c r="E1311" s="617" t="s">
        <v>4853</v>
      </c>
      <c r="F1311" s="617" t="s">
        <v>26</v>
      </c>
      <c r="G1311" s="624"/>
      <c r="O1311" s="616"/>
      <c r="P1311" s="616"/>
      <c r="Q1311" s="616"/>
      <c r="AA1311" s="624"/>
      <c r="AB1311" s="663">
        <v>39061002500</v>
      </c>
      <c r="AC1311" s="663" t="s">
        <v>6243</v>
      </c>
      <c r="AD1311" s="663" t="s">
        <v>4938</v>
      </c>
      <c r="AE1311" s="663" t="s">
        <v>4942</v>
      </c>
      <c r="AF1311" s="663" t="s">
        <v>4962</v>
      </c>
    </row>
    <row r="1312" spans="1:32" s="608" customFormat="1" x14ac:dyDescent="0.25">
      <c r="A1312" s="624"/>
      <c r="B1312" s="617">
        <v>39055311000</v>
      </c>
      <c r="C1312" s="617" t="s">
        <v>2980</v>
      </c>
      <c r="D1312" s="617" t="s">
        <v>52</v>
      </c>
      <c r="E1312" s="617" t="s">
        <v>4853</v>
      </c>
      <c r="F1312" s="617" t="s">
        <v>26</v>
      </c>
      <c r="G1312" s="624"/>
      <c r="O1312" s="616"/>
      <c r="P1312" s="616"/>
      <c r="Q1312" s="616"/>
      <c r="AA1312" s="624"/>
      <c r="AB1312" s="663">
        <v>39061002600</v>
      </c>
      <c r="AC1312" s="663" t="s">
        <v>6244</v>
      </c>
      <c r="AD1312" s="663" t="s">
        <v>4938</v>
      </c>
      <c r="AE1312" s="663" t="s">
        <v>4939</v>
      </c>
      <c r="AF1312" s="663" t="s">
        <v>4962</v>
      </c>
    </row>
    <row r="1313" spans="1:32" s="608" customFormat="1" x14ac:dyDescent="0.25">
      <c r="A1313" s="624"/>
      <c r="B1313" s="617">
        <v>39055311300</v>
      </c>
      <c r="C1313" s="617" t="s">
        <v>2981</v>
      </c>
      <c r="D1313" s="617" t="s">
        <v>52</v>
      </c>
      <c r="E1313" s="617" t="s">
        <v>4853</v>
      </c>
      <c r="F1313" s="617" t="s">
        <v>26</v>
      </c>
      <c r="G1313" s="624"/>
      <c r="O1313" s="616"/>
      <c r="P1313" s="616"/>
      <c r="Q1313" s="616"/>
      <c r="AA1313" s="624"/>
      <c r="AB1313" s="663">
        <v>39061002700</v>
      </c>
      <c r="AC1313" s="663" t="s">
        <v>6245</v>
      </c>
      <c r="AD1313" s="663" t="s">
        <v>4938</v>
      </c>
      <c r="AE1313" s="663" t="s">
        <v>5332</v>
      </c>
      <c r="AF1313" s="663" t="s">
        <v>4962</v>
      </c>
    </row>
    <row r="1314" spans="1:32" s="608" customFormat="1" x14ac:dyDescent="0.25">
      <c r="A1314" s="624"/>
      <c r="B1314" s="617">
        <v>39055311400</v>
      </c>
      <c r="C1314" s="617" t="s">
        <v>2982</v>
      </c>
      <c r="D1314" s="617" t="s">
        <v>52</v>
      </c>
      <c r="E1314" s="617" t="s">
        <v>4853</v>
      </c>
      <c r="F1314" s="617" t="s">
        <v>26</v>
      </c>
      <c r="G1314" s="624"/>
      <c r="O1314" s="616"/>
      <c r="P1314" s="616"/>
      <c r="Q1314" s="616"/>
      <c r="AA1314" s="624"/>
      <c r="AB1314" s="663">
        <v>39061002800</v>
      </c>
      <c r="AC1314" s="663" t="s">
        <v>6246</v>
      </c>
      <c r="AD1314" s="663" t="s">
        <v>4948</v>
      </c>
      <c r="AE1314" s="663" t="s">
        <v>4939</v>
      </c>
      <c r="AF1314" s="663" t="s">
        <v>4962</v>
      </c>
    </row>
    <row r="1315" spans="1:32" s="608" customFormat="1" x14ac:dyDescent="0.25">
      <c r="A1315" s="624"/>
      <c r="B1315" s="617">
        <v>39055311500</v>
      </c>
      <c r="C1315" s="617" t="s">
        <v>2983</v>
      </c>
      <c r="D1315" s="617" t="s">
        <v>52</v>
      </c>
      <c r="E1315" s="617" t="s">
        <v>4853</v>
      </c>
      <c r="F1315" s="617" t="s">
        <v>26</v>
      </c>
      <c r="G1315" s="624"/>
      <c r="O1315" s="616"/>
      <c r="P1315" s="616"/>
      <c r="Q1315" s="616"/>
      <c r="AA1315" s="624"/>
      <c r="AB1315" s="663">
        <v>39061002900</v>
      </c>
      <c r="AC1315" s="663" t="s">
        <v>6247</v>
      </c>
      <c r="AD1315" s="663" t="s">
        <v>4941</v>
      </c>
      <c r="AE1315" s="663" t="s">
        <v>4928</v>
      </c>
      <c r="AF1315" s="663" t="s">
        <v>4962</v>
      </c>
    </row>
    <row r="1316" spans="1:32" s="608" customFormat="1" x14ac:dyDescent="0.25">
      <c r="A1316" s="624"/>
      <c r="B1316" s="617">
        <v>39055311600</v>
      </c>
      <c r="C1316" s="617" t="s">
        <v>2984</v>
      </c>
      <c r="D1316" s="617" t="s">
        <v>52</v>
      </c>
      <c r="E1316" s="617" t="s">
        <v>4853</v>
      </c>
      <c r="F1316" s="617" t="s">
        <v>26</v>
      </c>
      <c r="G1316" s="624"/>
      <c r="O1316" s="616"/>
      <c r="P1316" s="616"/>
      <c r="Q1316" s="616"/>
      <c r="AA1316" s="624"/>
      <c r="AB1316" s="663">
        <v>39061003000</v>
      </c>
      <c r="AC1316" s="663" t="s">
        <v>6248</v>
      </c>
      <c r="AD1316" s="663" t="s">
        <v>4938</v>
      </c>
      <c r="AE1316" s="663" t="s">
        <v>4934</v>
      </c>
      <c r="AF1316" s="663" t="s">
        <v>4962</v>
      </c>
    </row>
    <row r="1317" spans="1:32" s="608" customFormat="1" x14ac:dyDescent="0.25">
      <c r="A1317" s="624"/>
      <c r="B1317" s="617">
        <v>39055311700</v>
      </c>
      <c r="C1317" s="617" t="s">
        <v>2985</v>
      </c>
      <c r="D1317" s="617" t="s">
        <v>52</v>
      </c>
      <c r="E1317" s="617" t="s">
        <v>4853</v>
      </c>
      <c r="F1317" s="617" t="s">
        <v>26</v>
      </c>
      <c r="G1317" s="624"/>
      <c r="O1317" s="616"/>
      <c r="P1317" s="616"/>
      <c r="Q1317" s="616"/>
      <c r="AA1317" s="624"/>
      <c r="AB1317" s="663">
        <v>39061003200</v>
      </c>
      <c r="AC1317" s="663" t="s">
        <v>6249</v>
      </c>
      <c r="AD1317" s="663" t="s">
        <v>4938</v>
      </c>
      <c r="AE1317" s="663" t="s">
        <v>4931</v>
      </c>
      <c r="AF1317" s="663" t="s">
        <v>4962</v>
      </c>
    </row>
    <row r="1318" spans="1:32" s="608" customFormat="1" x14ac:dyDescent="0.25">
      <c r="A1318" s="624"/>
      <c r="B1318" s="617">
        <v>39055311800</v>
      </c>
      <c r="C1318" s="617" t="s">
        <v>2986</v>
      </c>
      <c r="D1318" s="617" t="s">
        <v>52</v>
      </c>
      <c r="E1318" s="617" t="s">
        <v>4853</v>
      </c>
      <c r="F1318" s="617" t="s">
        <v>26</v>
      </c>
      <c r="G1318" s="624"/>
      <c r="O1318" s="616"/>
      <c r="P1318" s="616"/>
      <c r="Q1318" s="616"/>
      <c r="AA1318" s="624"/>
      <c r="AB1318" s="663">
        <v>39061003300</v>
      </c>
      <c r="AC1318" s="663" t="s">
        <v>6250</v>
      </c>
      <c r="AD1318" s="663" t="s">
        <v>4941</v>
      </c>
      <c r="AE1318" s="663" t="s">
        <v>4939</v>
      </c>
      <c r="AF1318" s="663" t="s">
        <v>4962</v>
      </c>
    </row>
    <row r="1319" spans="1:32" s="608" customFormat="1" x14ac:dyDescent="0.25">
      <c r="A1319" s="624"/>
      <c r="B1319" s="617">
        <v>39055311900</v>
      </c>
      <c r="C1319" s="617" t="s">
        <v>2987</v>
      </c>
      <c r="D1319" s="617" t="s">
        <v>52</v>
      </c>
      <c r="E1319" s="617" t="s">
        <v>4853</v>
      </c>
      <c r="F1319" s="617" t="s">
        <v>26</v>
      </c>
      <c r="G1319" s="624"/>
      <c r="O1319" s="616"/>
      <c r="P1319" s="616"/>
      <c r="Q1319" s="616"/>
      <c r="AA1319" s="624"/>
      <c r="AB1319" s="663">
        <v>39061003600</v>
      </c>
      <c r="AC1319" s="663" t="s">
        <v>6251</v>
      </c>
      <c r="AD1319" s="663" t="s">
        <v>4948</v>
      </c>
      <c r="AE1319" s="663" t="s">
        <v>4931</v>
      </c>
      <c r="AF1319" s="663" t="s">
        <v>4962</v>
      </c>
    </row>
    <row r="1320" spans="1:32" s="608" customFormat="1" x14ac:dyDescent="0.25">
      <c r="A1320" s="624"/>
      <c r="B1320" s="617">
        <v>39055312000</v>
      </c>
      <c r="C1320" s="617" t="s">
        <v>2988</v>
      </c>
      <c r="D1320" s="617" t="s">
        <v>52</v>
      </c>
      <c r="E1320" s="617" t="s">
        <v>4853</v>
      </c>
      <c r="F1320" s="617" t="s">
        <v>26</v>
      </c>
      <c r="G1320" s="624"/>
      <c r="O1320" s="616"/>
      <c r="P1320" s="616"/>
      <c r="Q1320" s="616"/>
      <c r="AA1320" s="624"/>
      <c r="AB1320" s="663">
        <v>39061003700</v>
      </c>
      <c r="AC1320" s="663" t="s">
        <v>6252</v>
      </c>
      <c r="AD1320" s="663" t="s">
        <v>4950</v>
      </c>
      <c r="AE1320" s="663" t="s">
        <v>4939</v>
      </c>
      <c r="AF1320" s="663" t="s">
        <v>4962</v>
      </c>
    </row>
    <row r="1321" spans="1:32" s="608" customFormat="1" x14ac:dyDescent="0.25">
      <c r="A1321" s="624"/>
      <c r="B1321" s="617">
        <v>39055312100</v>
      </c>
      <c r="C1321" s="617" t="s">
        <v>2989</v>
      </c>
      <c r="D1321" s="617" t="s">
        <v>52</v>
      </c>
      <c r="E1321" s="617" t="s">
        <v>4853</v>
      </c>
      <c r="F1321" s="617" t="s">
        <v>26</v>
      </c>
      <c r="G1321" s="624"/>
      <c r="O1321" s="616"/>
      <c r="P1321" s="616"/>
      <c r="Q1321" s="616"/>
      <c r="AA1321" s="624"/>
      <c r="AB1321" s="663">
        <v>39061003800</v>
      </c>
      <c r="AC1321" s="663" t="s">
        <v>6253</v>
      </c>
      <c r="AD1321" s="663" t="s">
        <v>4948</v>
      </c>
      <c r="AE1321" s="663" t="s">
        <v>4939</v>
      </c>
      <c r="AF1321" s="663" t="s">
        <v>4962</v>
      </c>
    </row>
    <row r="1322" spans="1:32" s="608" customFormat="1" x14ac:dyDescent="0.25">
      <c r="A1322" s="624"/>
      <c r="B1322" s="617">
        <v>39055312201</v>
      </c>
      <c r="C1322" s="617" t="s">
        <v>2990</v>
      </c>
      <c r="D1322" s="617" t="s">
        <v>52</v>
      </c>
      <c r="E1322" s="617" t="s">
        <v>4853</v>
      </c>
      <c r="F1322" s="617" t="s">
        <v>26</v>
      </c>
      <c r="G1322" s="624"/>
      <c r="O1322" s="616"/>
      <c r="P1322" s="616"/>
      <c r="Q1322" s="616"/>
      <c r="AA1322" s="624"/>
      <c r="AB1322" s="663">
        <v>39061003900</v>
      </c>
      <c r="AC1322" s="663" t="s">
        <v>6254</v>
      </c>
      <c r="AD1322" s="663" t="s">
        <v>4941</v>
      </c>
      <c r="AE1322" s="663" t="s">
        <v>4939</v>
      </c>
      <c r="AF1322" s="663" t="s">
        <v>4962</v>
      </c>
    </row>
    <row r="1323" spans="1:32" s="608" customFormat="1" x14ac:dyDescent="0.25">
      <c r="A1323" s="624"/>
      <c r="B1323" s="617">
        <v>39055312202</v>
      </c>
      <c r="C1323" s="617" t="s">
        <v>2991</v>
      </c>
      <c r="D1323" s="617" t="s">
        <v>52</v>
      </c>
      <c r="E1323" s="617" t="s">
        <v>4853</v>
      </c>
      <c r="F1323" s="617" t="s">
        <v>26</v>
      </c>
      <c r="G1323" s="624"/>
      <c r="O1323" s="616"/>
      <c r="P1323" s="616"/>
      <c r="Q1323" s="616"/>
      <c r="AA1323" s="624"/>
      <c r="AB1323" s="663">
        <v>39061004000</v>
      </c>
      <c r="AC1323" s="663" t="s">
        <v>6255</v>
      </c>
      <c r="AD1323" s="663" t="s">
        <v>4941</v>
      </c>
      <c r="AE1323" s="663" t="s">
        <v>4939</v>
      </c>
      <c r="AF1323" s="663" t="s">
        <v>4962</v>
      </c>
    </row>
    <row r="1324" spans="1:32" s="608" customFormat="1" x14ac:dyDescent="0.25">
      <c r="A1324" s="624"/>
      <c r="B1324" s="617">
        <v>39055312203</v>
      </c>
      <c r="C1324" s="617" t="s">
        <v>2992</v>
      </c>
      <c r="D1324" s="617" t="s">
        <v>52</v>
      </c>
      <c r="E1324" s="617" t="s">
        <v>4853</v>
      </c>
      <c r="F1324" s="617" t="s">
        <v>26</v>
      </c>
      <c r="G1324" s="624"/>
      <c r="O1324" s="616"/>
      <c r="P1324" s="616"/>
      <c r="Q1324" s="616"/>
      <c r="AA1324" s="624"/>
      <c r="AB1324" s="663">
        <v>39061004100</v>
      </c>
      <c r="AC1324" s="663" t="s">
        <v>6256</v>
      </c>
      <c r="AD1324" s="663" t="s">
        <v>4938</v>
      </c>
      <c r="AE1324" s="663" t="s">
        <v>4939</v>
      </c>
      <c r="AF1324" s="663" t="s">
        <v>4962</v>
      </c>
    </row>
    <row r="1325" spans="1:32" s="608" customFormat="1" x14ac:dyDescent="0.25">
      <c r="A1325" s="624"/>
      <c r="B1325" s="617">
        <v>39055312300</v>
      </c>
      <c r="C1325" s="617" t="s">
        <v>2993</v>
      </c>
      <c r="D1325" s="617" t="s">
        <v>52</v>
      </c>
      <c r="E1325" s="617" t="s">
        <v>4853</v>
      </c>
      <c r="F1325" s="617" t="s">
        <v>26</v>
      </c>
      <c r="G1325" s="624"/>
      <c r="O1325" s="616"/>
      <c r="P1325" s="616"/>
      <c r="Q1325" s="616"/>
      <c r="AA1325" s="624"/>
      <c r="AB1325" s="663">
        <v>39061004200</v>
      </c>
      <c r="AC1325" s="663" t="s">
        <v>6257</v>
      </c>
      <c r="AD1325" s="663" t="s">
        <v>4938</v>
      </c>
      <c r="AE1325" s="663" t="s">
        <v>4939</v>
      </c>
      <c r="AF1325" s="663" t="s">
        <v>4962</v>
      </c>
    </row>
    <row r="1326" spans="1:32" s="608" customFormat="1" x14ac:dyDescent="0.25">
      <c r="A1326" s="624"/>
      <c r="B1326" s="617">
        <v>39055312400</v>
      </c>
      <c r="C1326" s="617" t="s">
        <v>2994</v>
      </c>
      <c r="D1326" s="617" t="s">
        <v>52</v>
      </c>
      <c r="E1326" s="617" t="s">
        <v>4853</v>
      </c>
      <c r="F1326" s="617" t="s">
        <v>26</v>
      </c>
      <c r="G1326" s="624"/>
      <c r="O1326" s="616"/>
      <c r="P1326" s="616"/>
      <c r="Q1326" s="616"/>
      <c r="AA1326" s="624"/>
      <c r="AB1326" s="663">
        <v>39061004500</v>
      </c>
      <c r="AC1326" s="663" t="s">
        <v>6258</v>
      </c>
      <c r="AD1326" s="663" t="s">
        <v>4938</v>
      </c>
      <c r="AE1326" s="663" t="s">
        <v>4928</v>
      </c>
      <c r="AF1326" s="663" t="s">
        <v>4946</v>
      </c>
    </row>
    <row r="1327" spans="1:32" s="608" customFormat="1" x14ac:dyDescent="0.25">
      <c r="A1327" s="624"/>
      <c r="B1327" s="617">
        <v>39057200101</v>
      </c>
      <c r="C1327" s="617" t="s">
        <v>2995</v>
      </c>
      <c r="D1327" s="617" t="s">
        <v>53</v>
      </c>
      <c r="E1327" s="617" t="s">
        <v>4856</v>
      </c>
      <c r="F1327" s="617" t="s">
        <v>26</v>
      </c>
      <c r="G1327" s="624"/>
      <c r="O1327" s="616"/>
      <c r="P1327" s="616"/>
      <c r="Q1327" s="616"/>
      <c r="AA1327" s="624"/>
      <c r="AB1327" s="663">
        <v>39061004602</v>
      </c>
      <c r="AC1327" s="663" t="s">
        <v>6259</v>
      </c>
      <c r="AD1327" s="663" t="s">
        <v>4938</v>
      </c>
      <c r="AE1327" s="663" t="s">
        <v>4934</v>
      </c>
      <c r="AF1327" s="663" t="s">
        <v>4962</v>
      </c>
    </row>
    <row r="1328" spans="1:32" s="608" customFormat="1" x14ac:dyDescent="0.25">
      <c r="A1328" s="624"/>
      <c r="B1328" s="617">
        <v>39057200103</v>
      </c>
      <c r="C1328" s="617" t="s">
        <v>2996</v>
      </c>
      <c r="D1328" s="617" t="s">
        <v>53</v>
      </c>
      <c r="E1328" s="617" t="s">
        <v>4856</v>
      </c>
      <c r="F1328" s="617" t="s">
        <v>26</v>
      </c>
      <c r="G1328" s="624"/>
      <c r="O1328" s="616"/>
      <c r="P1328" s="616"/>
      <c r="Q1328" s="616"/>
      <c r="AA1328" s="624"/>
      <c r="AB1328" s="663">
        <v>39061004603</v>
      </c>
      <c r="AC1328" s="663" t="s">
        <v>6260</v>
      </c>
      <c r="AD1328" s="663" t="s">
        <v>4938</v>
      </c>
      <c r="AE1328" s="663" t="s">
        <v>4928</v>
      </c>
      <c r="AF1328" s="663" t="s">
        <v>4962</v>
      </c>
    </row>
    <row r="1329" spans="1:32" s="608" customFormat="1" x14ac:dyDescent="0.25">
      <c r="A1329" s="624"/>
      <c r="B1329" s="617">
        <v>39057200104</v>
      </c>
      <c r="C1329" s="617" t="s">
        <v>2997</v>
      </c>
      <c r="D1329" s="617" t="s">
        <v>53</v>
      </c>
      <c r="E1329" s="617" t="s">
        <v>4856</v>
      </c>
      <c r="F1329" s="617" t="s">
        <v>24</v>
      </c>
      <c r="G1329" s="624"/>
      <c r="O1329" s="616"/>
      <c r="P1329" s="616"/>
      <c r="Q1329" s="616"/>
      <c r="AA1329" s="624"/>
      <c r="AB1329" s="663">
        <v>39061004604</v>
      </c>
      <c r="AC1329" s="663" t="s">
        <v>6261</v>
      </c>
      <c r="AD1329" s="663" t="s">
        <v>4950</v>
      </c>
      <c r="AE1329" s="663" t="s">
        <v>4934</v>
      </c>
      <c r="AF1329" s="663" t="s">
        <v>4946</v>
      </c>
    </row>
    <row r="1330" spans="1:32" s="608" customFormat="1" x14ac:dyDescent="0.25">
      <c r="A1330" s="624"/>
      <c r="B1330" s="617">
        <v>39057200300</v>
      </c>
      <c r="C1330" s="617" t="s">
        <v>2998</v>
      </c>
      <c r="D1330" s="617" t="s">
        <v>53</v>
      </c>
      <c r="E1330" s="617" t="s">
        <v>4856</v>
      </c>
      <c r="F1330" s="617" t="s">
        <v>26</v>
      </c>
      <c r="G1330" s="624"/>
      <c r="O1330" s="616"/>
      <c r="P1330" s="616"/>
      <c r="Q1330" s="616"/>
      <c r="AA1330" s="624"/>
      <c r="AB1330" s="663">
        <v>39061004605</v>
      </c>
      <c r="AC1330" s="663" t="s">
        <v>6262</v>
      </c>
      <c r="AD1330" s="663" t="s">
        <v>4941</v>
      </c>
      <c r="AE1330" s="663" t="s">
        <v>4939</v>
      </c>
      <c r="AF1330" s="663" t="s">
        <v>4946</v>
      </c>
    </row>
    <row r="1331" spans="1:32" s="608" customFormat="1" x14ac:dyDescent="0.25">
      <c r="A1331" s="624"/>
      <c r="B1331" s="617">
        <v>39057200400</v>
      </c>
      <c r="C1331" s="617" t="s">
        <v>2999</v>
      </c>
      <c r="D1331" s="617" t="s">
        <v>53</v>
      </c>
      <c r="E1331" s="617" t="s">
        <v>4856</v>
      </c>
      <c r="F1331" s="617" t="s">
        <v>24</v>
      </c>
      <c r="G1331" s="624"/>
      <c r="O1331" s="616"/>
      <c r="P1331" s="616"/>
      <c r="Q1331" s="616"/>
      <c r="AA1331" s="624"/>
      <c r="AB1331" s="663">
        <v>39061004701</v>
      </c>
      <c r="AC1331" s="663" t="s">
        <v>6263</v>
      </c>
      <c r="AD1331" s="663" t="s">
        <v>4938</v>
      </c>
      <c r="AE1331" s="663" t="s">
        <v>4931</v>
      </c>
      <c r="AF1331" s="663" t="s">
        <v>4962</v>
      </c>
    </row>
    <row r="1332" spans="1:32" s="608" customFormat="1" x14ac:dyDescent="0.25">
      <c r="A1332" s="624"/>
      <c r="B1332" s="617">
        <v>39057200500</v>
      </c>
      <c r="C1332" s="617" t="s">
        <v>3000</v>
      </c>
      <c r="D1332" s="617" t="s">
        <v>53</v>
      </c>
      <c r="E1332" s="617" t="s">
        <v>4856</v>
      </c>
      <c r="F1332" s="617" t="s">
        <v>24</v>
      </c>
      <c r="G1332" s="624"/>
      <c r="O1332" s="616"/>
      <c r="P1332" s="616"/>
      <c r="Q1332" s="616"/>
      <c r="AA1332" s="624"/>
      <c r="AB1332" s="663">
        <v>39061004702</v>
      </c>
      <c r="AC1332" s="663" t="s">
        <v>6264</v>
      </c>
      <c r="AD1332" s="663" t="s">
        <v>4950</v>
      </c>
      <c r="AE1332" s="663" t="s">
        <v>4942</v>
      </c>
      <c r="AF1332" s="663" t="s">
        <v>4946</v>
      </c>
    </row>
    <row r="1333" spans="1:32" s="608" customFormat="1" x14ac:dyDescent="0.25">
      <c r="A1333" s="624"/>
      <c r="B1333" s="617">
        <v>39057200600</v>
      </c>
      <c r="C1333" s="617" t="s">
        <v>3001</v>
      </c>
      <c r="D1333" s="617" t="s">
        <v>53</v>
      </c>
      <c r="E1333" s="617" t="s">
        <v>4856</v>
      </c>
      <c r="F1333" s="617" t="s">
        <v>26</v>
      </c>
      <c r="G1333" s="624"/>
      <c r="O1333" s="616"/>
      <c r="P1333" s="616"/>
      <c r="Q1333" s="616"/>
      <c r="AA1333" s="624"/>
      <c r="AB1333" s="663">
        <v>39061004800</v>
      </c>
      <c r="AC1333" s="663" t="s">
        <v>6265</v>
      </c>
      <c r="AD1333" s="663" t="s">
        <v>4938</v>
      </c>
      <c r="AE1333" s="663" t="s">
        <v>4939</v>
      </c>
      <c r="AF1333" s="663" t="s">
        <v>4962</v>
      </c>
    </row>
    <row r="1334" spans="1:32" s="608" customFormat="1" x14ac:dyDescent="0.25">
      <c r="A1334" s="624"/>
      <c r="B1334" s="617">
        <v>39057200700</v>
      </c>
      <c r="C1334" s="617" t="s">
        <v>3002</v>
      </c>
      <c r="D1334" s="617" t="s">
        <v>53</v>
      </c>
      <c r="E1334" s="617" t="s">
        <v>4856</v>
      </c>
      <c r="F1334" s="617" t="s">
        <v>24</v>
      </c>
      <c r="G1334" s="624"/>
      <c r="O1334" s="616"/>
      <c r="P1334" s="616"/>
      <c r="Q1334" s="616"/>
      <c r="AA1334" s="624"/>
      <c r="AB1334" s="663">
        <v>39061004900</v>
      </c>
      <c r="AC1334" s="663" t="s">
        <v>6266</v>
      </c>
      <c r="AD1334" s="663" t="s">
        <v>4938</v>
      </c>
      <c r="AE1334" s="663" t="s">
        <v>4939</v>
      </c>
      <c r="AF1334" s="663" t="s">
        <v>4962</v>
      </c>
    </row>
    <row r="1335" spans="1:32" s="608" customFormat="1" x14ac:dyDescent="0.25">
      <c r="A1335" s="624"/>
      <c r="B1335" s="617">
        <v>39057200901</v>
      </c>
      <c r="C1335" s="617" t="s">
        <v>3003</v>
      </c>
      <c r="D1335" s="617" t="s">
        <v>53</v>
      </c>
      <c r="E1335" s="617" t="s">
        <v>4856</v>
      </c>
      <c r="F1335" s="617" t="s">
        <v>26</v>
      </c>
      <c r="G1335" s="624"/>
      <c r="O1335" s="616"/>
      <c r="P1335" s="616"/>
      <c r="Q1335" s="616"/>
      <c r="AA1335" s="624"/>
      <c r="AB1335" s="663">
        <v>39061005000</v>
      </c>
      <c r="AC1335" s="663" t="s">
        <v>6267</v>
      </c>
      <c r="AD1335" s="663" t="s">
        <v>4938</v>
      </c>
      <c r="AE1335" s="663" t="s">
        <v>4939</v>
      </c>
      <c r="AF1335" s="663" t="s">
        <v>4962</v>
      </c>
    </row>
    <row r="1336" spans="1:32" s="608" customFormat="1" x14ac:dyDescent="0.25">
      <c r="A1336" s="624"/>
      <c r="B1336" s="617">
        <v>39057200902</v>
      </c>
      <c r="C1336" s="617" t="s">
        <v>3004</v>
      </c>
      <c r="D1336" s="617" t="s">
        <v>53</v>
      </c>
      <c r="E1336" s="617" t="s">
        <v>4856</v>
      </c>
      <c r="F1336" s="617" t="s">
        <v>26</v>
      </c>
      <c r="G1336" s="624"/>
      <c r="O1336" s="616"/>
      <c r="P1336" s="616"/>
      <c r="Q1336" s="616"/>
      <c r="AA1336" s="624"/>
      <c r="AB1336" s="663">
        <v>39061005100</v>
      </c>
      <c r="AC1336" s="663" t="s">
        <v>6268</v>
      </c>
      <c r="AD1336" s="663" t="s">
        <v>4938</v>
      </c>
      <c r="AE1336" s="663" t="s">
        <v>4942</v>
      </c>
      <c r="AF1336" s="663" t="s">
        <v>4962</v>
      </c>
    </row>
    <row r="1337" spans="1:32" s="608" customFormat="1" x14ac:dyDescent="0.25">
      <c r="A1337" s="624"/>
      <c r="B1337" s="617">
        <v>39057210101</v>
      </c>
      <c r="C1337" s="617" t="s">
        <v>3005</v>
      </c>
      <c r="D1337" s="617" t="s">
        <v>53</v>
      </c>
      <c r="E1337" s="617" t="s">
        <v>4856</v>
      </c>
      <c r="F1337" s="617" t="s">
        <v>26</v>
      </c>
      <c r="G1337" s="624"/>
      <c r="O1337" s="616"/>
      <c r="P1337" s="616"/>
      <c r="Q1337" s="616"/>
      <c r="AA1337" s="624"/>
      <c r="AB1337" s="663">
        <v>39061005200</v>
      </c>
      <c r="AC1337" s="663" t="s">
        <v>6269</v>
      </c>
      <c r="AD1337" s="663" t="s">
        <v>4938</v>
      </c>
      <c r="AE1337" s="663" t="s">
        <v>4931</v>
      </c>
      <c r="AF1337" s="663" t="s">
        <v>4962</v>
      </c>
    </row>
    <row r="1338" spans="1:32" s="608" customFormat="1" x14ac:dyDescent="0.25">
      <c r="A1338" s="624"/>
      <c r="B1338" s="617">
        <v>39057210102</v>
      </c>
      <c r="C1338" s="617" t="s">
        <v>3006</v>
      </c>
      <c r="D1338" s="617" t="s">
        <v>53</v>
      </c>
      <c r="E1338" s="617" t="s">
        <v>4856</v>
      </c>
      <c r="F1338" s="617" t="s">
        <v>26</v>
      </c>
      <c r="G1338" s="624"/>
      <c r="O1338" s="616"/>
      <c r="P1338" s="616"/>
      <c r="Q1338" s="616"/>
      <c r="AA1338" s="624"/>
      <c r="AB1338" s="663">
        <v>39061005301</v>
      </c>
      <c r="AC1338" s="663" t="s">
        <v>6270</v>
      </c>
      <c r="AD1338" s="663" t="s">
        <v>4938</v>
      </c>
      <c r="AE1338" s="663" t="s">
        <v>4939</v>
      </c>
      <c r="AF1338" s="663" t="s">
        <v>4962</v>
      </c>
    </row>
    <row r="1339" spans="1:32" s="608" customFormat="1" x14ac:dyDescent="0.25">
      <c r="A1339" s="624"/>
      <c r="B1339" s="617">
        <v>39057210201</v>
      </c>
      <c r="C1339" s="617" t="s">
        <v>3007</v>
      </c>
      <c r="D1339" s="617" t="s">
        <v>53</v>
      </c>
      <c r="E1339" s="617" t="s">
        <v>4856</v>
      </c>
      <c r="F1339" s="617" t="s">
        <v>26</v>
      </c>
      <c r="G1339" s="624"/>
      <c r="O1339" s="616"/>
      <c r="P1339" s="616"/>
      <c r="Q1339" s="616"/>
      <c r="AA1339" s="624"/>
      <c r="AB1339" s="663">
        <v>39061005302</v>
      </c>
      <c r="AC1339" s="663" t="s">
        <v>6271</v>
      </c>
      <c r="AD1339" s="663" t="s">
        <v>4938</v>
      </c>
      <c r="AE1339" s="663" t="s">
        <v>4939</v>
      </c>
      <c r="AF1339" s="663" t="s">
        <v>4962</v>
      </c>
    </row>
    <row r="1340" spans="1:32" s="608" customFormat="1" x14ac:dyDescent="0.25">
      <c r="A1340" s="624"/>
      <c r="B1340" s="617">
        <v>39057210202</v>
      </c>
      <c r="C1340" s="617" t="s">
        <v>3008</v>
      </c>
      <c r="D1340" s="617" t="s">
        <v>53</v>
      </c>
      <c r="E1340" s="617" t="s">
        <v>4856</v>
      </c>
      <c r="F1340" s="617" t="s">
        <v>26</v>
      </c>
      <c r="G1340" s="624"/>
      <c r="O1340" s="616"/>
      <c r="P1340" s="616"/>
      <c r="Q1340" s="616"/>
      <c r="AA1340" s="624"/>
      <c r="AB1340" s="663">
        <v>39061005400</v>
      </c>
      <c r="AC1340" s="663" t="s">
        <v>6272</v>
      </c>
      <c r="AD1340" s="663" t="s">
        <v>4938</v>
      </c>
      <c r="AE1340" s="663" t="s">
        <v>4939</v>
      </c>
      <c r="AF1340" s="663" t="s">
        <v>4946</v>
      </c>
    </row>
    <row r="1341" spans="1:32" s="608" customFormat="1" x14ac:dyDescent="0.25">
      <c r="A1341" s="624"/>
      <c r="B1341" s="617">
        <v>39057210300</v>
      </c>
      <c r="C1341" s="617" t="s">
        <v>3009</v>
      </c>
      <c r="D1341" s="617" t="s">
        <v>53</v>
      </c>
      <c r="E1341" s="617" t="s">
        <v>4856</v>
      </c>
      <c r="F1341" s="617" t="s">
        <v>26</v>
      </c>
      <c r="G1341" s="624"/>
      <c r="O1341" s="616"/>
      <c r="P1341" s="616"/>
      <c r="Q1341" s="616"/>
      <c r="AA1341" s="624"/>
      <c r="AB1341" s="663">
        <v>39061005500</v>
      </c>
      <c r="AC1341" s="663" t="s">
        <v>6273</v>
      </c>
      <c r="AD1341" s="663" t="s">
        <v>4938</v>
      </c>
      <c r="AE1341" s="663" t="s">
        <v>4939</v>
      </c>
      <c r="AF1341" s="663" t="s">
        <v>4962</v>
      </c>
    </row>
    <row r="1342" spans="1:32" s="608" customFormat="1" x14ac:dyDescent="0.25">
      <c r="A1342" s="624"/>
      <c r="B1342" s="617">
        <v>39057210401</v>
      </c>
      <c r="C1342" s="617" t="s">
        <v>3010</v>
      </c>
      <c r="D1342" s="617" t="s">
        <v>53</v>
      </c>
      <c r="E1342" s="617" t="s">
        <v>4856</v>
      </c>
      <c r="F1342" s="617" t="s">
        <v>26</v>
      </c>
      <c r="G1342" s="624"/>
      <c r="O1342" s="616"/>
      <c r="P1342" s="616"/>
      <c r="Q1342" s="616"/>
      <c r="AA1342" s="624"/>
      <c r="AB1342" s="663">
        <v>39061005600</v>
      </c>
      <c r="AC1342" s="663" t="s">
        <v>6274</v>
      </c>
      <c r="AD1342" s="663" t="s">
        <v>4938</v>
      </c>
      <c r="AE1342" s="663" t="s">
        <v>4931</v>
      </c>
      <c r="AF1342" s="663" t="s">
        <v>4962</v>
      </c>
    </row>
    <row r="1343" spans="1:32" s="608" customFormat="1" x14ac:dyDescent="0.25">
      <c r="A1343" s="624"/>
      <c r="B1343" s="617">
        <v>39057210402</v>
      </c>
      <c r="C1343" s="617" t="s">
        <v>3011</v>
      </c>
      <c r="D1343" s="617" t="s">
        <v>53</v>
      </c>
      <c r="E1343" s="617" t="s">
        <v>4856</v>
      </c>
      <c r="F1343" s="617" t="s">
        <v>26</v>
      </c>
      <c r="G1343" s="624"/>
      <c r="O1343" s="616"/>
      <c r="P1343" s="616"/>
      <c r="Q1343" s="616"/>
      <c r="AA1343" s="624"/>
      <c r="AB1343" s="663">
        <v>39061005701</v>
      </c>
      <c r="AC1343" s="663" t="s">
        <v>6275</v>
      </c>
      <c r="AD1343" s="663" t="s">
        <v>4938</v>
      </c>
      <c r="AE1343" s="663" t="s">
        <v>4942</v>
      </c>
      <c r="AF1343" s="663" t="s">
        <v>4962</v>
      </c>
    </row>
    <row r="1344" spans="1:32" s="608" customFormat="1" x14ac:dyDescent="0.25">
      <c r="A1344" s="624"/>
      <c r="B1344" s="617">
        <v>39057210500</v>
      </c>
      <c r="C1344" s="617" t="s">
        <v>3012</v>
      </c>
      <c r="D1344" s="617" t="s">
        <v>53</v>
      </c>
      <c r="E1344" s="617" t="s">
        <v>4856</v>
      </c>
      <c r="F1344" s="617" t="s">
        <v>26</v>
      </c>
      <c r="G1344" s="624"/>
      <c r="O1344" s="616"/>
      <c r="P1344" s="616"/>
      <c r="Q1344" s="616"/>
      <c r="AA1344" s="624"/>
      <c r="AB1344" s="663">
        <v>39061005702</v>
      </c>
      <c r="AC1344" s="663" t="s">
        <v>6276</v>
      </c>
      <c r="AD1344" s="663" t="s">
        <v>4938</v>
      </c>
      <c r="AE1344" s="663" t="s">
        <v>4939</v>
      </c>
      <c r="AF1344" s="663" t="s">
        <v>4962</v>
      </c>
    </row>
    <row r="1345" spans="1:32" s="608" customFormat="1" x14ac:dyDescent="0.25">
      <c r="A1345" s="624"/>
      <c r="B1345" s="617">
        <v>39057210602</v>
      </c>
      <c r="C1345" s="617" t="s">
        <v>3013</v>
      </c>
      <c r="D1345" s="617" t="s">
        <v>53</v>
      </c>
      <c r="E1345" s="617" t="s">
        <v>4856</v>
      </c>
      <c r="F1345" s="617" t="s">
        <v>26</v>
      </c>
      <c r="G1345" s="624"/>
      <c r="O1345" s="616"/>
      <c r="P1345" s="616"/>
      <c r="Q1345" s="616"/>
      <c r="AA1345" s="624"/>
      <c r="AB1345" s="663">
        <v>39061005800</v>
      </c>
      <c r="AC1345" s="663" t="s">
        <v>6277</v>
      </c>
      <c r="AD1345" s="663" t="s">
        <v>4941</v>
      </c>
      <c r="AE1345" s="663" t="s">
        <v>4942</v>
      </c>
      <c r="AF1345" s="663" t="s">
        <v>4962</v>
      </c>
    </row>
    <row r="1346" spans="1:32" s="608" customFormat="1" x14ac:dyDescent="0.25">
      <c r="A1346" s="624"/>
      <c r="B1346" s="617">
        <v>39057210603</v>
      </c>
      <c r="C1346" s="617" t="s">
        <v>3014</v>
      </c>
      <c r="D1346" s="617" t="s">
        <v>53</v>
      </c>
      <c r="E1346" s="617" t="s">
        <v>4856</v>
      </c>
      <c r="F1346" s="617" t="s">
        <v>26</v>
      </c>
      <c r="G1346" s="624"/>
      <c r="O1346" s="616"/>
      <c r="P1346" s="616"/>
      <c r="Q1346" s="616"/>
      <c r="AA1346" s="624"/>
      <c r="AB1346" s="663">
        <v>39061005900</v>
      </c>
      <c r="AC1346" s="663" t="s">
        <v>6278</v>
      </c>
      <c r="AD1346" s="663" t="s">
        <v>4938</v>
      </c>
      <c r="AE1346" s="663" t="s">
        <v>4942</v>
      </c>
      <c r="AF1346" s="663" t="s">
        <v>4962</v>
      </c>
    </row>
    <row r="1347" spans="1:32" s="608" customFormat="1" x14ac:dyDescent="0.25">
      <c r="A1347" s="624"/>
      <c r="B1347" s="617">
        <v>39057210604</v>
      </c>
      <c r="C1347" s="617" t="s">
        <v>3015</v>
      </c>
      <c r="D1347" s="617" t="s">
        <v>53</v>
      </c>
      <c r="E1347" s="617" t="s">
        <v>4856</v>
      </c>
      <c r="F1347" s="617" t="s">
        <v>26</v>
      </c>
      <c r="G1347" s="624"/>
      <c r="O1347" s="616"/>
      <c r="P1347" s="616"/>
      <c r="Q1347" s="616"/>
      <c r="AA1347" s="624"/>
      <c r="AB1347" s="663">
        <v>39061006000</v>
      </c>
      <c r="AC1347" s="663" t="s">
        <v>6279</v>
      </c>
      <c r="AD1347" s="663" t="s">
        <v>4941</v>
      </c>
      <c r="AE1347" s="663" t="s">
        <v>4928</v>
      </c>
      <c r="AF1347" s="663" t="s">
        <v>4962</v>
      </c>
    </row>
    <row r="1348" spans="1:32" s="608" customFormat="1" x14ac:dyDescent="0.25">
      <c r="A1348" s="624"/>
      <c r="B1348" s="617">
        <v>39057210605</v>
      </c>
      <c r="C1348" s="617" t="s">
        <v>3016</v>
      </c>
      <c r="D1348" s="617" t="s">
        <v>53</v>
      </c>
      <c r="E1348" s="617" t="s">
        <v>4856</v>
      </c>
      <c r="F1348" s="617" t="s">
        <v>26</v>
      </c>
      <c r="G1348" s="624"/>
      <c r="O1348" s="616"/>
      <c r="P1348" s="616"/>
      <c r="Q1348" s="616"/>
      <c r="AA1348" s="624"/>
      <c r="AB1348" s="663">
        <v>39061006100</v>
      </c>
      <c r="AC1348" s="663" t="s">
        <v>6280</v>
      </c>
      <c r="AD1348" s="663" t="s">
        <v>4941</v>
      </c>
      <c r="AE1348" s="663" t="s">
        <v>4931</v>
      </c>
      <c r="AF1348" s="663" t="s">
        <v>4962</v>
      </c>
    </row>
    <row r="1349" spans="1:32" s="608" customFormat="1" x14ac:dyDescent="0.25">
      <c r="A1349" s="624"/>
      <c r="B1349" s="617">
        <v>39057220101</v>
      </c>
      <c r="C1349" s="617" t="s">
        <v>3017</v>
      </c>
      <c r="D1349" s="617" t="s">
        <v>53</v>
      </c>
      <c r="E1349" s="617" t="s">
        <v>4856</v>
      </c>
      <c r="F1349" s="617" t="s">
        <v>26</v>
      </c>
      <c r="G1349" s="624"/>
      <c r="O1349" s="616"/>
      <c r="P1349" s="616"/>
      <c r="Q1349" s="616"/>
      <c r="AA1349" s="624"/>
      <c r="AB1349" s="663">
        <v>39061006300</v>
      </c>
      <c r="AC1349" s="663" t="s">
        <v>6281</v>
      </c>
      <c r="AD1349" s="663" t="s">
        <v>4948</v>
      </c>
      <c r="AE1349" s="663" t="s">
        <v>4934</v>
      </c>
      <c r="AF1349" s="663" t="s">
        <v>4962</v>
      </c>
    </row>
    <row r="1350" spans="1:32" s="608" customFormat="1" x14ac:dyDescent="0.25">
      <c r="A1350" s="624"/>
      <c r="B1350" s="617">
        <v>39057220102</v>
      </c>
      <c r="C1350" s="617" t="s">
        <v>3018</v>
      </c>
      <c r="D1350" s="617" t="s">
        <v>53</v>
      </c>
      <c r="E1350" s="617" t="s">
        <v>4856</v>
      </c>
      <c r="F1350" s="617" t="s">
        <v>26</v>
      </c>
      <c r="G1350" s="624"/>
      <c r="O1350" s="616"/>
      <c r="P1350" s="616"/>
      <c r="Q1350" s="616"/>
      <c r="AA1350" s="624"/>
      <c r="AB1350" s="663">
        <v>39061006400</v>
      </c>
      <c r="AC1350" s="663" t="s">
        <v>6282</v>
      </c>
      <c r="AD1350" s="663" t="s">
        <v>4950</v>
      </c>
      <c r="AE1350" s="663" t="s">
        <v>4939</v>
      </c>
      <c r="AF1350" s="663" t="s">
        <v>4962</v>
      </c>
    </row>
    <row r="1351" spans="1:32" s="608" customFormat="1" x14ac:dyDescent="0.25">
      <c r="A1351" s="624"/>
      <c r="B1351" s="617">
        <v>39057220201</v>
      </c>
      <c r="C1351" s="617" t="s">
        <v>3019</v>
      </c>
      <c r="D1351" s="617" t="s">
        <v>53</v>
      </c>
      <c r="E1351" s="617" t="s">
        <v>4856</v>
      </c>
      <c r="F1351" s="617" t="s">
        <v>26</v>
      </c>
      <c r="G1351" s="624"/>
      <c r="O1351" s="616"/>
      <c r="P1351" s="616"/>
      <c r="Q1351" s="616"/>
      <c r="AA1351" s="624"/>
      <c r="AB1351" s="663">
        <v>39061006500</v>
      </c>
      <c r="AC1351" s="663" t="s">
        <v>6283</v>
      </c>
      <c r="AD1351" s="663" t="s">
        <v>4938</v>
      </c>
      <c r="AE1351" s="663" t="s">
        <v>4928</v>
      </c>
      <c r="AF1351" s="663" t="s">
        <v>4962</v>
      </c>
    </row>
    <row r="1352" spans="1:32" s="608" customFormat="1" x14ac:dyDescent="0.25">
      <c r="A1352" s="624"/>
      <c r="B1352" s="617">
        <v>39057220202</v>
      </c>
      <c r="C1352" s="617" t="s">
        <v>3020</v>
      </c>
      <c r="D1352" s="617" t="s">
        <v>53</v>
      </c>
      <c r="E1352" s="617" t="s">
        <v>4856</v>
      </c>
      <c r="F1352" s="617" t="s">
        <v>26</v>
      </c>
      <c r="G1352" s="624"/>
      <c r="O1352" s="616"/>
      <c r="P1352" s="616"/>
      <c r="Q1352" s="616"/>
      <c r="AA1352" s="624"/>
      <c r="AB1352" s="663">
        <v>39061006600</v>
      </c>
      <c r="AC1352" s="663" t="s">
        <v>6284</v>
      </c>
      <c r="AD1352" s="663" t="s">
        <v>4950</v>
      </c>
      <c r="AE1352" s="663" t="s">
        <v>4928</v>
      </c>
      <c r="AF1352" s="663" t="s">
        <v>4962</v>
      </c>
    </row>
    <row r="1353" spans="1:32" s="608" customFormat="1" x14ac:dyDescent="0.25">
      <c r="A1353" s="624"/>
      <c r="B1353" s="617">
        <v>39057230100</v>
      </c>
      <c r="C1353" s="617" t="s">
        <v>3021</v>
      </c>
      <c r="D1353" s="617" t="s">
        <v>53</v>
      </c>
      <c r="E1353" s="617" t="s">
        <v>4856</v>
      </c>
      <c r="F1353" s="617" t="s">
        <v>26</v>
      </c>
      <c r="G1353" s="624"/>
      <c r="O1353" s="616"/>
      <c r="P1353" s="616"/>
      <c r="Q1353" s="616"/>
      <c r="AA1353" s="624"/>
      <c r="AB1353" s="663">
        <v>39061006800</v>
      </c>
      <c r="AC1353" s="663" t="s">
        <v>6285</v>
      </c>
      <c r="AD1353" s="663" t="s">
        <v>4950</v>
      </c>
      <c r="AE1353" s="663" t="s">
        <v>4928</v>
      </c>
      <c r="AF1353" s="663" t="s">
        <v>4962</v>
      </c>
    </row>
    <row r="1354" spans="1:32" s="608" customFormat="1" x14ac:dyDescent="0.25">
      <c r="A1354" s="624"/>
      <c r="B1354" s="617">
        <v>39057240100</v>
      </c>
      <c r="C1354" s="617" t="s">
        <v>3022</v>
      </c>
      <c r="D1354" s="617" t="s">
        <v>53</v>
      </c>
      <c r="E1354" s="617" t="s">
        <v>4856</v>
      </c>
      <c r="F1354" s="617" t="s">
        <v>26</v>
      </c>
      <c r="G1354" s="624"/>
      <c r="O1354" s="616"/>
      <c r="P1354" s="616"/>
      <c r="Q1354" s="616"/>
      <c r="AA1354" s="624"/>
      <c r="AB1354" s="663">
        <v>39061006900</v>
      </c>
      <c r="AC1354" s="663" t="s">
        <v>6286</v>
      </c>
      <c r="AD1354" s="663" t="s">
        <v>4948</v>
      </c>
      <c r="AE1354" s="663" t="s">
        <v>4939</v>
      </c>
      <c r="AF1354" s="663" t="s">
        <v>4962</v>
      </c>
    </row>
    <row r="1355" spans="1:32" s="608" customFormat="1" x14ac:dyDescent="0.25">
      <c r="A1355" s="624"/>
      <c r="B1355" s="617">
        <v>39057240200</v>
      </c>
      <c r="C1355" s="617" t="s">
        <v>3023</v>
      </c>
      <c r="D1355" s="617" t="s">
        <v>53</v>
      </c>
      <c r="E1355" s="617" t="s">
        <v>4856</v>
      </c>
      <c r="F1355" s="617" t="s">
        <v>26</v>
      </c>
      <c r="G1355" s="624"/>
      <c r="O1355" s="616"/>
      <c r="P1355" s="616"/>
      <c r="Q1355" s="616"/>
      <c r="AA1355" s="624"/>
      <c r="AB1355" s="663">
        <v>39061007000</v>
      </c>
      <c r="AC1355" s="663" t="s">
        <v>6287</v>
      </c>
      <c r="AD1355" s="663" t="s">
        <v>4938</v>
      </c>
      <c r="AE1355" s="663" t="s">
        <v>4939</v>
      </c>
      <c r="AF1355" s="663" t="s">
        <v>4962</v>
      </c>
    </row>
    <row r="1356" spans="1:32" s="608" customFormat="1" x14ac:dyDescent="0.25">
      <c r="A1356" s="624"/>
      <c r="B1356" s="617">
        <v>39057240302</v>
      </c>
      <c r="C1356" s="617" t="s">
        <v>3024</v>
      </c>
      <c r="D1356" s="617" t="s">
        <v>53</v>
      </c>
      <c r="E1356" s="617" t="s">
        <v>4856</v>
      </c>
      <c r="F1356" s="617" t="s">
        <v>24</v>
      </c>
      <c r="G1356" s="624"/>
      <c r="O1356" s="616"/>
      <c r="P1356" s="616"/>
      <c r="Q1356" s="616"/>
      <c r="AA1356" s="624"/>
      <c r="AB1356" s="663">
        <v>39061007100</v>
      </c>
      <c r="AC1356" s="663" t="s">
        <v>6288</v>
      </c>
      <c r="AD1356" s="663" t="s">
        <v>4938</v>
      </c>
      <c r="AE1356" s="663" t="s">
        <v>4934</v>
      </c>
      <c r="AF1356" s="663" t="s">
        <v>4962</v>
      </c>
    </row>
    <row r="1357" spans="1:32" s="608" customFormat="1" x14ac:dyDescent="0.25">
      <c r="A1357" s="624"/>
      <c r="B1357" s="617">
        <v>39057240303</v>
      </c>
      <c r="C1357" s="617" t="s">
        <v>3025</v>
      </c>
      <c r="D1357" s="617" t="s">
        <v>53</v>
      </c>
      <c r="E1357" s="617" t="s">
        <v>4856</v>
      </c>
      <c r="F1357" s="617" t="s">
        <v>26</v>
      </c>
      <c r="G1357" s="624"/>
      <c r="O1357" s="616"/>
      <c r="P1357" s="616"/>
      <c r="Q1357" s="616"/>
      <c r="AA1357" s="624"/>
      <c r="AB1357" s="663">
        <v>39061007200</v>
      </c>
      <c r="AC1357" s="663" t="s">
        <v>6289</v>
      </c>
      <c r="AD1357" s="663" t="s">
        <v>4938</v>
      </c>
      <c r="AE1357" s="663" t="s">
        <v>4934</v>
      </c>
      <c r="AF1357" s="663" t="s">
        <v>4962</v>
      </c>
    </row>
    <row r="1358" spans="1:32" s="608" customFormat="1" x14ac:dyDescent="0.25">
      <c r="A1358" s="624"/>
      <c r="B1358" s="617">
        <v>39057240304</v>
      </c>
      <c r="C1358" s="617" t="s">
        <v>3026</v>
      </c>
      <c r="D1358" s="617" t="s">
        <v>53</v>
      </c>
      <c r="E1358" s="617" t="s">
        <v>4856</v>
      </c>
      <c r="F1358" s="617" t="s">
        <v>26</v>
      </c>
      <c r="G1358" s="624"/>
      <c r="O1358" s="616"/>
      <c r="P1358" s="616"/>
      <c r="Q1358" s="616"/>
      <c r="AA1358" s="624"/>
      <c r="AB1358" s="663">
        <v>39061007300</v>
      </c>
      <c r="AC1358" s="663" t="s">
        <v>6290</v>
      </c>
      <c r="AD1358" s="663" t="s">
        <v>4948</v>
      </c>
      <c r="AE1358" s="663" t="s">
        <v>4942</v>
      </c>
      <c r="AF1358" s="663" t="s">
        <v>4962</v>
      </c>
    </row>
    <row r="1359" spans="1:32" s="608" customFormat="1" x14ac:dyDescent="0.25">
      <c r="A1359" s="624"/>
      <c r="B1359" s="617">
        <v>39057240500</v>
      </c>
      <c r="C1359" s="617" t="s">
        <v>3027</v>
      </c>
      <c r="D1359" s="617" t="s">
        <v>53</v>
      </c>
      <c r="E1359" s="617" t="s">
        <v>4856</v>
      </c>
      <c r="F1359" s="617" t="s">
        <v>26</v>
      </c>
      <c r="G1359" s="624"/>
      <c r="O1359" s="616"/>
      <c r="P1359" s="616"/>
      <c r="Q1359" s="616"/>
      <c r="AA1359" s="624"/>
      <c r="AB1359" s="663">
        <v>39061007400</v>
      </c>
      <c r="AC1359" s="663" t="s">
        <v>6291</v>
      </c>
      <c r="AD1359" s="663" t="s">
        <v>4938</v>
      </c>
      <c r="AE1359" s="663" t="s">
        <v>5332</v>
      </c>
      <c r="AF1359" s="663" t="s">
        <v>4962</v>
      </c>
    </row>
    <row r="1360" spans="1:32" s="608" customFormat="1" x14ac:dyDescent="0.25">
      <c r="A1360" s="624"/>
      <c r="B1360" s="617">
        <v>39057240600</v>
      </c>
      <c r="C1360" s="617" t="s">
        <v>3028</v>
      </c>
      <c r="D1360" s="617" t="s">
        <v>53</v>
      </c>
      <c r="E1360" s="617" t="s">
        <v>4856</v>
      </c>
      <c r="F1360" s="617" t="s">
        <v>26</v>
      </c>
      <c r="G1360" s="624"/>
      <c r="O1360" s="616"/>
      <c r="P1360" s="616"/>
      <c r="Q1360" s="616"/>
      <c r="AA1360" s="624"/>
      <c r="AB1360" s="663">
        <v>39061007500</v>
      </c>
      <c r="AC1360" s="663" t="s">
        <v>6292</v>
      </c>
      <c r="AD1360" s="663" t="s">
        <v>4938</v>
      </c>
      <c r="AE1360" s="663" t="s">
        <v>4939</v>
      </c>
      <c r="AF1360" s="663" t="s">
        <v>4962</v>
      </c>
    </row>
    <row r="1361" spans="1:32" s="608" customFormat="1" x14ac:dyDescent="0.25">
      <c r="A1361" s="624"/>
      <c r="B1361" s="617">
        <v>39057240700</v>
      </c>
      <c r="C1361" s="617" t="s">
        <v>3029</v>
      </c>
      <c r="D1361" s="617" t="s">
        <v>53</v>
      </c>
      <c r="E1361" s="617" t="s">
        <v>4856</v>
      </c>
      <c r="F1361" s="617" t="s">
        <v>26</v>
      </c>
      <c r="G1361" s="624"/>
      <c r="O1361" s="616"/>
      <c r="P1361" s="616"/>
      <c r="Q1361" s="616"/>
      <c r="AA1361" s="624"/>
      <c r="AB1361" s="663">
        <v>39061007700</v>
      </c>
      <c r="AC1361" s="663" t="s">
        <v>6293</v>
      </c>
      <c r="AD1361" s="663" t="s">
        <v>4927</v>
      </c>
      <c r="AE1361" s="663" t="s">
        <v>4928</v>
      </c>
      <c r="AF1361" s="663" t="s">
        <v>4962</v>
      </c>
    </row>
    <row r="1362" spans="1:32" s="608" customFormat="1" x14ac:dyDescent="0.25">
      <c r="A1362" s="624"/>
      <c r="B1362" s="617">
        <v>39057255000</v>
      </c>
      <c r="C1362" s="617" t="s">
        <v>3030</v>
      </c>
      <c r="D1362" s="617" t="s">
        <v>53</v>
      </c>
      <c r="E1362" s="617" t="s">
        <v>4856</v>
      </c>
      <c r="F1362" s="617" t="s">
        <v>26</v>
      </c>
      <c r="G1362" s="624"/>
      <c r="O1362" s="616"/>
      <c r="P1362" s="616"/>
      <c r="Q1362" s="616"/>
      <c r="AA1362" s="624"/>
      <c r="AB1362" s="663">
        <v>39061007800</v>
      </c>
      <c r="AC1362" s="663" t="s">
        <v>6294</v>
      </c>
      <c r="AD1362" s="663" t="s">
        <v>4941</v>
      </c>
      <c r="AE1362" s="663" t="s">
        <v>4931</v>
      </c>
      <c r="AF1362" s="663" t="s">
        <v>4962</v>
      </c>
    </row>
    <row r="1363" spans="1:32" s="608" customFormat="1" x14ac:dyDescent="0.25">
      <c r="A1363" s="624"/>
      <c r="B1363" s="617">
        <v>39057260100</v>
      </c>
      <c r="C1363" s="617" t="s">
        <v>3031</v>
      </c>
      <c r="D1363" s="617" t="s">
        <v>53</v>
      </c>
      <c r="E1363" s="617" t="s">
        <v>4856</v>
      </c>
      <c r="F1363" s="617" t="s">
        <v>26</v>
      </c>
      <c r="G1363" s="624"/>
      <c r="O1363" s="616"/>
      <c r="P1363" s="616"/>
      <c r="Q1363" s="616"/>
      <c r="AA1363" s="624"/>
      <c r="AB1363" s="663">
        <v>39061007900</v>
      </c>
      <c r="AC1363" s="663" t="s">
        <v>6295</v>
      </c>
      <c r="AD1363" s="663" t="s">
        <v>4941</v>
      </c>
      <c r="AE1363" s="663" t="s">
        <v>4939</v>
      </c>
      <c r="AF1363" s="663" t="s">
        <v>4962</v>
      </c>
    </row>
    <row r="1364" spans="1:32" s="608" customFormat="1" x14ac:dyDescent="0.25">
      <c r="A1364" s="624"/>
      <c r="B1364" s="617">
        <v>39057270100</v>
      </c>
      <c r="C1364" s="617" t="s">
        <v>3032</v>
      </c>
      <c r="D1364" s="617" t="s">
        <v>53</v>
      </c>
      <c r="E1364" s="617" t="s">
        <v>4856</v>
      </c>
      <c r="F1364" s="617" t="s">
        <v>26</v>
      </c>
      <c r="G1364" s="624"/>
      <c r="O1364" s="616"/>
      <c r="P1364" s="616"/>
      <c r="Q1364" s="616"/>
      <c r="AA1364" s="624"/>
      <c r="AB1364" s="663">
        <v>39061008000</v>
      </c>
      <c r="AC1364" s="663" t="s">
        <v>6296</v>
      </c>
      <c r="AD1364" s="663" t="s">
        <v>4927</v>
      </c>
      <c r="AE1364" s="663" t="s">
        <v>4939</v>
      </c>
      <c r="AF1364" s="663" t="s">
        <v>4946</v>
      </c>
    </row>
    <row r="1365" spans="1:32" s="608" customFormat="1" x14ac:dyDescent="0.25">
      <c r="A1365" s="624"/>
      <c r="B1365" s="617">
        <v>39057280101</v>
      </c>
      <c r="C1365" s="617" t="s">
        <v>3033</v>
      </c>
      <c r="D1365" s="617" t="s">
        <v>53</v>
      </c>
      <c r="E1365" s="617" t="s">
        <v>4856</v>
      </c>
      <c r="F1365" s="617" t="s">
        <v>26</v>
      </c>
      <c r="G1365" s="624"/>
      <c r="O1365" s="616"/>
      <c r="P1365" s="616"/>
      <c r="Q1365" s="616"/>
      <c r="AA1365" s="624"/>
      <c r="AB1365" s="663">
        <v>39061008100</v>
      </c>
      <c r="AC1365" s="663" t="s">
        <v>6297</v>
      </c>
      <c r="AD1365" s="663" t="s">
        <v>4948</v>
      </c>
      <c r="AE1365" s="663" t="s">
        <v>4928</v>
      </c>
      <c r="AF1365" s="663" t="s">
        <v>4962</v>
      </c>
    </row>
    <row r="1366" spans="1:32" s="608" customFormat="1" x14ac:dyDescent="0.25">
      <c r="A1366" s="624"/>
      <c r="B1366" s="617">
        <v>39057280102</v>
      </c>
      <c r="C1366" s="617" t="s">
        <v>3034</v>
      </c>
      <c r="D1366" s="617" t="s">
        <v>53</v>
      </c>
      <c r="E1366" s="617" t="s">
        <v>4856</v>
      </c>
      <c r="F1366" s="617" t="s">
        <v>26</v>
      </c>
      <c r="G1366" s="624"/>
      <c r="O1366" s="616"/>
      <c r="P1366" s="616"/>
      <c r="Q1366" s="616"/>
      <c r="AA1366" s="624"/>
      <c r="AB1366" s="663">
        <v>39061008201</v>
      </c>
      <c r="AC1366" s="663" t="s">
        <v>6298</v>
      </c>
      <c r="AD1366" s="663" t="s">
        <v>4941</v>
      </c>
      <c r="AE1366" s="663" t="s">
        <v>4942</v>
      </c>
      <c r="AF1366" s="663" t="s">
        <v>4962</v>
      </c>
    </row>
    <row r="1367" spans="1:32" s="608" customFormat="1" x14ac:dyDescent="0.25">
      <c r="A1367" s="624"/>
      <c r="B1367" s="617">
        <v>39057280200</v>
      </c>
      <c r="C1367" s="617" t="s">
        <v>3035</v>
      </c>
      <c r="D1367" s="617" t="s">
        <v>53</v>
      </c>
      <c r="E1367" s="617" t="s">
        <v>4856</v>
      </c>
      <c r="F1367" s="617" t="s">
        <v>26</v>
      </c>
      <c r="G1367" s="624"/>
      <c r="O1367" s="616"/>
      <c r="P1367" s="616"/>
      <c r="Q1367" s="616"/>
      <c r="AA1367" s="624"/>
      <c r="AB1367" s="663">
        <v>39061008202</v>
      </c>
      <c r="AC1367" s="663" t="s">
        <v>6299</v>
      </c>
      <c r="AD1367" s="663" t="s">
        <v>4941</v>
      </c>
      <c r="AE1367" s="663" t="s">
        <v>4939</v>
      </c>
      <c r="AF1367" s="663" t="s">
        <v>4962</v>
      </c>
    </row>
    <row r="1368" spans="1:32" s="608" customFormat="1" x14ac:dyDescent="0.25">
      <c r="A1368" s="624"/>
      <c r="B1368" s="617">
        <v>39057280300</v>
      </c>
      <c r="C1368" s="617" t="s">
        <v>3036</v>
      </c>
      <c r="D1368" s="617" t="s">
        <v>53</v>
      </c>
      <c r="E1368" s="617" t="s">
        <v>4856</v>
      </c>
      <c r="F1368" s="617" t="s">
        <v>26</v>
      </c>
      <c r="G1368" s="624"/>
      <c r="O1368" s="616"/>
      <c r="P1368" s="616"/>
      <c r="Q1368" s="616"/>
      <c r="AA1368" s="624"/>
      <c r="AB1368" s="663">
        <v>39061008300</v>
      </c>
      <c r="AC1368" s="663" t="s">
        <v>6300</v>
      </c>
      <c r="AD1368" s="663" t="s">
        <v>4948</v>
      </c>
      <c r="AE1368" s="663" t="s">
        <v>4928</v>
      </c>
      <c r="AF1368" s="663" t="s">
        <v>4962</v>
      </c>
    </row>
    <row r="1369" spans="1:32" s="608" customFormat="1" x14ac:dyDescent="0.25">
      <c r="A1369" s="624"/>
      <c r="B1369" s="617">
        <v>39059977100</v>
      </c>
      <c r="C1369" s="617" t="s">
        <v>3037</v>
      </c>
      <c r="D1369" s="617" t="s">
        <v>54</v>
      </c>
      <c r="E1369" s="617" t="s">
        <v>1672</v>
      </c>
      <c r="F1369" s="617" t="s">
        <v>26</v>
      </c>
      <c r="G1369" s="624"/>
      <c r="O1369" s="616"/>
      <c r="P1369" s="616"/>
      <c r="Q1369" s="616"/>
      <c r="AA1369" s="624"/>
      <c r="AB1369" s="663">
        <v>39061008400</v>
      </c>
      <c r="AC1369" s="663" t="s">
        <v>6301</v>
      </c>
      <c r="AD1369" s="663" t="s">
        <v>4941</v>
      </c>
      <c r="AE1369" s="663" t="s">
        <v>4931</v>
      </c>
      <c r="AF1369" s="663" t="s">
        <v>4962</v>
      </c>
    </row>
    <row r="1370" spans="1:32" s="608" customFormat="1" x14ac:dyDescent="0.25">
      <c r="A1370" s="624"/>
      <c r="B1370" s="617">
        <v>39059977200</v>
      </c>
      <c r="C1370" s="617" t="s">
        <v>3038</v>
      </c>
      <c r="D1370" s="617" t="s">
        <v>54</v>
      </c>
      <c r="E1370" s="617" t="s">
        <v>1672</v>
      </c>
      <c r="F1370" s="617" t="s">
        <v>26</v>
      </c>
      <c r="G1370" s="624"/>
      <c r="O1370" s="616"/>
      <c r="P1370" s="616"/>
      <c r="Q1370" s="616"/>
      <c r="AA1370" s="624"/>
      <c r="AB1370" s="663">
        <v>39061008501</v>
      </c>
      <c r="AC1370" s="663" t="s">
        <v>6302</v>
      </c>
      <c r="AD1370" s="663" t="s">
        <v>4927</v>
      </c>
      <c r="AE1370" s="663" t="s">
        <v>4931</v>
      </c>
      <c r="AF1370" s="663" t="s">
        <v>4946</v>
      </c>
    </row>
    <row r="1371" spans="1:32" s="608" customFormat="1" x14ac:dyDescent="0.25">
      <c r="A1371" s="624"/>
      <c r="B1371" s="617">
        <v>39059977300</v>
      </c>
      <c r="C1371" s="617" t="s">
        <v>3039</v>
      </c>
      <c r="D1371" s="617" t="s">
        <v>54</v>
      </c>
      <c r="E1371" s="617" t="s">
        <v>1672</v>
      </c>
      <c r="F1371" s="617" t="s">
        <v>24</v>
      </c>
      <c r="G1371" s="624"/>
      <c r="O1371" s="616"/>
      <c r="P1371" s="616"/>
      <c r="Q1371" s="616"/>
      <c r="AA1371" s="624"/>
      <c r="AB1371" s="663">
        <v>39061008502</v>
      </c>
      <c r="AC1371" s="663" t="s">
        <v>6303</v>
      </c>
      <c r="AD1371" s="663" t="s">
        <v>4927</v>
      </c>
      <c r="AE1371" s="663" t="s">
        <v>4931</v>
      </c>
      <c r="AF1371" s="663" t="s">
        <v>4962</v>
      </c>
    </row>
    <row r="1372" spans="1:32" s="608" customFormat="1" x14ac:dyDescent="0.25">
      <c r="A1372" s="624"/>
      <c r="B1372" s="617">
        <v>39059977400</v>
      </c>
      <c r="C1372" s="617" t="s">
        <v>3040</v>
      </c>
      <c r="D1372" s="617" t="s">
        <v>54</v>
      </c>
      <c r="E1372" s="617" t="s">
        <v>1672</v>
      </c>
      <c r="F1372" s="617" t="s">
        <v>26</v>
      </c>
      <c r="G1372" s="624"/>
      <c r="O1372" s="616"/>
      <c r="P1372" s="616"/>
      <c r="Q1372" s="616"/>
      <c r="AA1372" s="624"/>
      <c r="AB1372" s="663">
        <v>39061008601</v>
      </c>
      <c r="AC1372" s="663" t="s">
        <v>6304</v>
      </c>
      <c r="AD1372" s="663" t="s">
        <v>4927</v>
      </c>
      <c r="AE1372" s="663" t="s">
        <v>4939</v>
      </c>
      <c r="AF1372" s="663" t="s">
        <v>4962</v>
      </c>
    </row>
    <row r="1373" spans="1:32" s="608" customFormat="1" x14ac:dyDescent="0.25">
      <c r="A1373" s="624"/>
      <c r="B1373" s="617">
        <v>39059977500</v>
      </c>
      <c r="C1373" s="617" t="s">
        <v>3041</v>
      </c>
      <c r="D1373" s="617" t="s">
        <v>54</v>
      </c>
      <c r="E1373" s="617" t="s">
        <v>1672</v>
      </c>
      <c r="F1373" s="617" t="s">
        <v>26</v>
      </c>
      <c r="G1373" s="624"/>
      <c r="O1373" s="616"/>
      <c r="P1373" s="616"/>
      <c r="Q1373" s="616"/>
      <c r="AA1373" s="624"/>
      <c r="AB1373" s="663">
        <v>39061008800</v>
      </c>
      <c r="AC1373" s="663" t="s">
        <v>6305</v>
      </c>
      <c r="AD1373" s="663" t="s">
        <v>4927</v>
      </c>
      <c r="AE1373" s="663" t="s">
        <v>4934</v>
      </c>
      <c r="AF1373" s="663" t="s">
        <v>4962</v>
      </c>
    </row>
    <row r="1374" spans="1:32" s="608" customFormat="1" x14ac:dyDescent="0.25">
      <c r="A1374" s="624"/>
      <c r="B1374" s="617">
        <v>39059977600</v>
      </c>
      <c r="C1374" s="617" t="s">
        <v>3042</v>
      </c>
      <c r="D1374" s="617" t="s">
        <v>54</v>
      </c>
      <c r="E1374" s="617" t="s">
        <v>1672</v>
      </c>
      <c r="F1374" s="617" t="s">
        <v>24</v>
      </c>
      <c r="G1374" s="624"/>
      <c r="O1374" s="616"/>
      <c r="P1374" s="616"/>
      <c r="Q1374" s="616"/>
      <c r="AA1374" s="624"/>
      <c r="AB1374" s="663">
        <v>39061009200</v>
      </c>
      <c r="AC1374" s="663" t="s">
        <v>6306</v>
      </c>
      <c r="AD1374" s="663" t="s">
        <v>4950</v>
      </c>
      <c r="AE1374" s="663" t="s">
        <v>4931</v>
      </c>
      <c r="AF1374" s="663" t="s">
        <v>4962</v>
      </c>
    </row>
    <row r="1375" spans="1:32" s="608" customFormat="1" x14ac:dyDescent="0.25">
      <c r="A1375" s="624"/>
      <c r="B1375" s="617">
        <v>39059977700</v>
      </c>
      <c r="C1375" s="617" t="s">
        <v>3043</v>
      </c>
      <c r="D1375" s="617" t="s">
        <v>54</v>
      </c>
      <c r="E1375" s="617" t="s">
        <v>1672</v>
      </c>
      <c r="F1375" s="617" t="s">
        <v>26</v>
      </c>
      <c r="G1375" s="624"/>
      <c r="O1375" s="616"/>
      <c r="P1375" s="616"/>
      <c r="Q1375" s="616"/>
      <c r="AA1375" s="624"/>
      <c r="AB1375" s="663">
        <v>39061009300</v>
      </c>
      <c r="AC1375" s="663" t="s">
        <v>6307</v>
      </c>
      <c r="AD1375" s="663" t="s">
        <v>4950</v>
      </c>
      <c r="AE1375" s="663" t="s">
        <v>4928</v>
      </c>
      <c r="AF1375" s="663" t="s">
        <v>4962</v>
      </c>
    </row>
    <row r="1376" spans="1:32" s="608" customFormat="1" x14ac:dyDescent="0.25">
      <c r="A1376" s="624"/>
      <c r="B1376" s="617">
        <v>39059977800</v>
      </c>
      <c r="C1376" s="617" t="s">
        <v>3044</v>
      </c>
      <c r="D1376" s="617" t="s">
        <v>54</v>
      </c>
      <c r="E1376" s="617" t="s">
        <v>1672</v>
      </c>
      <c r="F1376" s="617" t="s">
        <v>26</v>
      </c>
      <c r="G1376" s="624"/>
      <c r="O1376" s="616"/>
      <c r="P1376" s="616"/>
      <c r="Q1376" s="616"/>
      <c r="AA1376" s="624"/>
      <c r="AB1376" s="663">
        <v>39061009400</v>
      </c>
      <c r="AC1376" s="663" t="s">
        <v>6308</v>
      </c>
      <c r="AD1376" s="663" t="s">
        <v>4927</v>
      </c>
      <c r="AE1376" s="663" t="s">
        <v>4931</v>
      </c>
      <c r="AF1376" s="663" t="s">
        <v>4962</v>
      </c>
    </row>
    <row r="1377" spans="1:32" s="608" customFormat="1" x14ac:dyDescent="0.25">
      <c r="A1377" s="624"/>
      <c r="B1377" s="617">
        <v>39059977900</v>
      </c>
      <c r="C1377" s="617" t="s">
        <v>3045</v>
      </c>
      <c r="D1377" s="617" t="s">
        <v>54</v>
      </c>
      <c r="E1377" s="617" t="s">
        <v>1672</v>
      </c>
      <c r="F1377" s="617" t="s">
        <v>26</v>
      </c>
      <c r="G1377" s="624"/>
      <c r="O1377" s="616"/>
      <c r="P1377" s="616"/>
      <c r="Q1377" s="616"/>
      <c r="AA1377" s="624"/>
      <c r="AB1377" s="663">
        <v>39061009500</v>
      </c>
      <c r="AC1377" s="663" t="s">
        <v>6309</v>
      </c>
      <c r="AD1377" s="663" t="s">
        <v>4950</v>
      </c>
      <c r="AE1377" s="663" t="s">
        <v>4939</v>
      </c>
      <c r="AF1377" s="663" t="s">
        <v>4962</v>
      </c>
    </row>
    <row r="1378" spans="1:32" s="608" customFormat="1" x14ac:dyDescent="0.25">
      <c r="A1378" s="624"/>
      <c r="B1378" s="617">
        <v>39059978000</v>
      </c>
      <c r="C1378" s="617" t="s">
        <v>3046</v>
      </c>
      <c r="D1378" s="617" t="s">
        <v>54</v>
      </c>
      <c r="E1378" s="617" t="s">
        <v>1672</v>
      </c>
      <c r="F1378" s="617" t="s">
        <v>26</v>
      </c>
      <c r="G1378" s="624"/>
      <c r="O1378" s="616"/>
      <c r="P1378" s="616"/>
      <c r="Q1378" s="616"/>
      <c r="AA1378" s="624"/>
      <c r="AB1378" s="663">
        <v>39061009600</v>
      </c>
      <c r="AC1378" s="663" t="s">
        <v>6310</v>
      </c>
      <c r="AD1378" s="663" t="s">
        <v>4948</v>
      </c>
      <c r="AE1378" s="663" t="s">
        <v>4928</v>
      </c>
      <c r="AF1378" s="663" t="s">
        <v>4962</v>
      </c>
    </row>
    <row r="1379" spans="1:32" s="608" customFormat="1" x14ac:dyDescent="0.25">
      <c r="A1379" s="624"/>
      <c r="B1379" s="617">
        <v>39061000200</v>
      </c>
      <c r="C1379" s="617" t="s">
        <v>3047</v>
      </c>
      <c r="D1379" s="617" t="s">
        <v>55</v>
      </c>
      <c r="E1379" s="617" t="s">
        <v>4850</v>
      </c>
      <c r="F1379" s="617" t="s">
        <v>24</v>
      </c>
      <c r="G1379" s="624"/>
      <c r="O1379" s="616"/>
      <c r="P1379" s="616"/>
      <c r="Q1379" s="616"/>
      <c r="AA1379" s="624"/>
      <c r="AB1379" s="663">
        <v>39061009700</v>
      </c>
      <c r="AC1379" s="663" t="s">
        <v>6311</v>
      </c>
      <c r="AD1379" s="663" t="s">
        <v>4948</v>
      </c>
      <c r="AE1379" s="663" t="s">
        <v>4939</v>
      </c>
      <c r="AF1379" s="663" t="s">
        <v>4962</v>
      </c>
    </row>
    <row r="1380" spans="1:32" s="608" customFormat="1" x14ac:dyDescent="0.25">
      <c r="A1380" s="624"/>
      <c r="B1380" s="617">
        <v>39061000700</v>
      </c>
      <c r="C1380" s="617" t="s">
        <v>3048</v>
      </c>
      <c r="D1380" s="617" t="s">
        <v>55</v>
      </c>
      <c r="E1380" s="617" t="s">
        <v>4850</v>
      </c>
      <c r="F1380" s="617" t="s">
        <v>26</v>
      </c>
      <c r="G1380" s="624"/>
      <c r="O1380" s="616"/>
      <c r="P1380" s="616"/>
      <c r="Q1380" s="616"/>
      <c r="AA1380" s="624"/>
      <c r="AB1380" s="663">
        <v>39061009800</v>
      </c>
      <c r="AC1380" s="663" t="s">
        <v>6312</v>
      </c>
      <c r="AD1380" s="663" t="s">
        <v>4950</v>
      </c>
      <c r="AE1380" s="663" t="s">
        <v>4942</v>
      </c>
      <c r="AF1380" s="663" t="s">
        <v>4962</v>
      </c>
    </row>
    <row r="1381" spans="1:32" s="608" customFormat="1" x14ac:dyDescent="0.25">
      <c r="A1381" s="624"/>
      <c r="B1381" s="617">
        <v>39061000900</v>
      </c>
      <c r="C1381" s="617" t="s">
        <v>3049</v>
      </c>
      <c r="D1381" s="617" t="s">
        <v>55</v>
      </c>
      <c r="E1381" s="617" t="s">
        <v>4850</v>
      </c>
      <c r="F1381" s="617" t="s">
        <v>24</v>
      </c>
      <c r="G1381" s="624"/>
      <c r="O1381" s="616"/>
      <c r="P1381" s="616"/>
      <c r="Q1381" s="616"/>
      <c r="AA1381" s="624"/>
      <c r="AB1381" s="663">
        <v>39061009901</v>
      </c>
      <c r="AC1381" s="663" t="s">
        <v>6313</v>
      </c>
      <c r="AD1381" s="663" t="s">
        <v>4941</v>
      </c>
      <c r="AE1381" s="663" t="s">
        <v>4942</v>
      </c>
      <c r="AF1381" s="663" t="s">
        <v>4962</v>
      </c>
    </row>
    <row r="1382" spans="1:32" s="608" customFormat="1" x14ac:dyDescent="0.25">
      <c r="A1382" s="624"/>
      <c r="B1382" s="617">
        <v>39061001000</v>
      </c>
      <c r="C1382" s="617" t="s">
        <v>3050</v>
      </c>
      <c r="D1382" s="617" t="s">
        <v>55</v>
      </c>
      <c r="E1382" s="617" t="s">
        <v>4850</v>
      </c>
      <c r="F1382" s="617" t="s">
        <v>26</v>
      </c>
      <c r="G1382" s="624"/>
      <c r="O1382" s="616"/>
      <c r="P1382" s="616"/>
      <c r="Q1382" s="616"/>
      <c r="AA1382" s="624"/>
      <c r="AB1382" s="663">
        <v>39061009902</v>
      </c>
      <c r="AC1382" s="663" t="s">
        <v>6314</v>
      </c>
      <c r="AD1382" s="663" t="s">
        <v>4948</v>
      </c>
      <c r="AE1382" s="663" t="s">
        <v>4934</v>
      </c>
      <c r="AF1382" s="663" t="s">
        <v>4962</v>
      </c>
    </row>
    <row r="1383" spans="1:32" s="608" customFormat="1" x14ac:dyDescent="0.25">
      <c r="A1383" s="624"/>
      <c r="B1383" s="617">
        <v>39061001100</v>
      </c>
      <c r="C1383" s="617" t="s">
        <v>3051</v>
      </c>
      <c r="D1383" s="617" t="s">
        <v>55</v>
      </c>
      <c r="E1383" s="617" t="s">
        <v>4850</v>
      </c>
      <c r="F1383" s="617" t="s">
        <v>24</v>
      </c>
      <c r="G1383" s="624"/>
      <c r="O1383" s="616"/>
      <c r="P1383" s="616"/>
      <c r="Q1383" s="616"/>
      <c r="AA1383" s="624"/>
      <c r="AB1383" s="663">
        <v>39061010002</v>
      </c>
      <c r="AC1383" s="663" t="s">
        <v>6315</v>
      </c>
      <c r="AD1383" s="663" t="s">
        <v>4927</v>
      </c>
      <c r="AE1383" s="663" t="s">
        <v>4942</v>
      </c>
      <c r="AF1383" s="663" t="s">
        <v>4962</v>
      </c>
    </row>
    <row r="1384" spans="1:32" s="608" customFormat="1" x14ac:dyDescent="0.25">
      <c r="A1384" s="624"/>
      <c r="B1384" s="617">
        <v>39061001600</v>
      </c>
      <c r="C1384" s="617" t="s">
        <v>3052</v>
      </c>
      <c r="D1384" s="617" t="s">
        <v>55</v>
      </c>
      <c r="E1384" s="617" t="s">
        <v>4850</v>
      </c>
      <c r="F1384" s="617" t="s">
        <v>24</v>
      </c>
      <c r="G1384" s="624"/>
      <c r="O1384" s="616"/>
      <c r="P1384" s="616"/>
      <c r="Q1384" s="616"/>
      <c r="AA1384" s="624"/>
      <c r="AB1384" s="663">
        <v>39061010003</v>
      </c>
      <c r="AC1384" s="663" t="s">
        <v>6316</v>
      </c>
      <c r="AD1384" s="663" t="s">
        <v>4948</v>
      </c>
      <c r="AE1384" s="663" t="s">
        <v>4934</v>
      </c>
      <c r="AF1384" s="663" t="s">
        <v>4962</v>
      </c>
    </row>
    <row r="1385" spans="1:32" s="608" customFormat="1" x14ac:dyDescent="0.25">
      <c r="A1385" s="624"/>
      <c r="B1385" s="617">
        <v>39061001700</v>
      </c>
      <c r="C1385" s="617" t="s">
        <v>3053</v>
      </c>
      <c r="D1385" s="617" t="s">
        <v>55</v>
      </c>
      <c r="E1385" s="617" t="s">
        <v>4850</v>
      </c>
      <c r="F1385" s="617" t="s">
        <v>24</v>
      </c>
      <c r="G1385" s="624"/>
      <c r="O1385" s="616"/>
      <c r="P1385" s="616"/>
      <c r="Q1385" s="616"/>
      <c r="AA1385" s="624"/>
      <c r="AB1385" s="663">
        <v>39061010004</v>
      </c>
      <c r="AC1385" s="663" t="s">
        <v>6317</v>
      </c>
      <c r="AD1385" s="663" t="s">
        <v>4948</v>
      </c>
      <c r="AE1385" s="663" t="s">
        <v>4934</v>
      </c>
      <c r="AF1385" s="663" t="s">
        <v>4962</v>
      </c>
    </row>
    <row r="1386" spans="1:32" s="608" customFormat="1" x14ac:dyDescent="0.25">
      <c r="A1386" s="624"/>
      <c r="B1386" s="617">
        <v>39061001800</v>
      </c>
      <c r="C1386" s="617" t="s">
        <v>3054</v>
      </c>
      <c r="D1386" s="617" t="s">
        <v>55</v>
      </c>
      <c r="E1386" s="617" t="s">
        <v>4850</v>
      </c>
      <c r="F1386" s="617" t="s">
        <v>26</v>
      </c>
      <c r="G1386" s="624"/>
      <c r="O1386" s="616"/>
      <c r="P1386" s="616"/>
      <c r="Q1386" s="616"/>
      <c r="AA1386" s="624"/>
      <c r="AB1386" s="663">
        <v>39061010005</v>
      </c>
      <c r="AC1386" s="663" t="s">
        <v>6318</v>
      </c>
      <c r="AD1386" s="663" t="s">
        <v>4948</v>
      </c>
      <c r="AE1386" s="663" t="s">
        <v>4931</v>
      </c>
      <c r="AF1386" s="663" t="s">
        <v>4962</v>
      </c>
    </row>
    <row r="1387" spans="1:32" s="608" customFormat="1" x14ac:dyDescent="0.25">
      <c r="A1387" s="624"/>
      <c r="B1387" s="617">
        <v>39061001900</v>
      </c>
      <c r="C1387" s="617" t="s">
        <v>3055</v>
      </c>
      <c r="D1387" s="617" t="s">
        <v>55</v>
      </c>
      <c r="E1387" s="617" t="s">
        <v>4850</v>
      </c>
      <c r="F1387" s="617" t="s">
        <v>26</v>
      </c>
      <c r="G1387" s="624"/>
      <c r="O1387" s="616"/>
      <c r="P1387" s="616"/>
      <c r="Q1387" s="616"/>
      <c r="AA1387" s="624"/>
      <c r="AB1387" s="663">
        <v>39061010100</v>
      </c>
      <c r="AC1387" s="663" t="s">
        <v>6319</v>
      </c>
      <c r="AD1387" s="663" t="s">
        <v>4941</v>
      </c>
      <c r="AE1387" s="663" t="s">
        <v>4931</v>
      </c>
      <c r="AF1387" s="663" t="s">
        <v>4962</v>
      </c>
    </row>
    <row r="1388" spans="1:32" s="608" customFormat="1" x14ac:dyDescent="0.25">
      <c r="A1388" s="624"/>
      <c r="B1388" s="617">
        <v>39061002000</v>
      </c>
      <c r="C1388" s="617" t="s">
        <v>3056</v>
      </c>
      <c r="D1388" s="617" t="s">
        <v>55</v>
      </c>
      <c r="E1388" s="617" t="s">
        <v>4850</v>
      </c>
      <c r="F1388" s="617" t="s">
        <v>26</v>
      </c>
      <c r="G1388" s="624"/>
      <c r="O1388" s="616"/>
      <c r="P1388" s="616"/>
      <c r="Q1388" s="616"/>
      <c r="AA1388" s="624"/>
      <c r="AB1388" s="663">
        <v>39061010201</v>
      </c>
      <c r="AC1388" s="663" t="s">
        <v>6320</v>
      </c>
      <c r="AD1388" s="663" t="s">
        <v>4941</v>
      </c>
      <c r="AE1388" s="663" t="s">
        <v>4931</v>
      </c>
      <c r="AF1388" s="663" t="s">
        <v>4962</v>
      </c>
    </row>
    <row r="1389" spans="1:32" s="608" customFormat="1" x14ac:dyDescent="0.25">
      <c r="A1389" s="624"/>
      <c r="B1389" s="617">
        <v>39061002200</v>
      </c>
      <c r="C1389" s="617" t="s">
        <v>3057</v>
      </c>
      <c r="D1389" s="617" t="s">
        <v>55</v>
      </c>
      <c r="E1389" s="617" t="s">
        <v>4850</v>
      </c>
      <c r="F1389" s="617" t="s">
        <v>24</v>
      </c>
      <c r="G1389" s="624"/>
      <c r="O1389" s="616"/>
      <c r="P1389" s="616"/>
      <c r="Q1389" s="616"/>
      <c r="AA1389" s="624"/>
      <c r="AB1389" s="663">
        <v>39061010202</v>
      </c>
      <c r="AC1389" s="663" t="s">
        <v>6321</v>
      </c>
      <c r="AD1389" s="663" t="s">
        <v>4941</v>
      </c>
      <c r="AE1389" s="663" t="s">
        <v>4934</v>
      </c>
      <c r="AF1389" s="663" t="s">
        <v>4962</v>
      </c>
    </row>
    <row r="1390" spans="1:32" s="608" customFormat="1" x14ac:dyDescent="0.25">
      <c r="A1390" s="624"/>
      <c r="B1390" s="617">
        <v>39061002300</v>
      </c>
      <c r="C1390" s="617" t="s">
        <v>3058</v>
      </c>
      <c r="D1390" s="617" t="s">
        <v>55</v>
      </c>
      <c r="E1390" s="617" t="s">
        <v>4850</v>
      </c>
      <c r="F1390" s="617" t="s">
        <v>24</v>
      </c>
      <c r="G1390" s="624"/>
      <c r="O1390" s="616"/>
      <c r="P1390" s="616"/>
      <c r="Q1390" s="616"/>
      <c r="AA1390" s="624"/>
      <c r="AB1390" s="663">
        <v>39061010300</v>
      </c>
      <c r="AC1390" s="663" t="s">
        <v>6322</v>
      </c>
      <c r="AD1390" s="663" t="s">
        <v>4927</v>
      </c>
      <c r="AE1390" s="663" t="s">
        <v>4931</v>
      </c>
      <c r="AF1390" s="663" t="s">
        <v>4946</v>
      </c>
    </row>
    <row r="1391" spans="1:32" s="608" customFormat="1" x14ac:dyDescent="0.25">
      <c r="A1391" s="624"/>
      <c r="B1391" s="617">
        <v>39061002500</v>
      </c>
      <c r="C1391" s="617" t="s">
        <v>3059</v>
      </c>
      <c r="D1391" s="617" t="s">
        <v>55</v>
      </c>
      <c r="E1391" s="617" t="s">
        <v>4850</v>
      </c>
      <c r="F1391" s="617" t="s">
        <v>24</v>
      </c>
      <c r="G1391" s="624"/>
      <c r="O1391" s="616"/>
      <c r="P1391" s="616"/>
      <c r="Q1391" s="616"/>
      <c r="AA1391" s="624"/>
      <c r="AB1391" s="663">
        <v>39061010400</v>
      </c>
      <c r="AC1391" s="663" t="s">
        <v>6323</v>
      </c>
      <c r="AD1391" s="663" t="s">
        <v>4927</v>
      </c>
      <c r="AE1391" s="663" t="s">
        <v>4934</v>
      </c>
      <c r="AF1391" s="663" t="s">
        <v>4946</v>
      </c>
    </row>
    <row r="1392" spans="1:32" s="608" customFormat="1" x14ac:dyDescent="0.25">
      <c r="A1392" s="624"/>
      <c r="B1392" s="617">
        <v>39061002600</v>
      </c>
      <c r="C1392" s="617" t="s">
        <v>3060</v>
      </c>
      <c r="D1392" s="617" t="s">
        <v>55</v>
      </c>
      <c r="E1392" s="617" t="s">
        <v>4850</v>
      </c>
      <c r="F1392" s="617" t="s">
        <v>24</v>
      </c>
      <c r="G1392" s="624"/>
      <c r="O1392" s="616"/>
      <c r="P1392" s="616"/>
      <c r="Q1392" s="616"/>
      <c r="AA1392" s="624"/>
      <c r="AB1392" s="663">
        <v>39061010500</v>
      </c>
      <c r="AC1392" s="663" t="s">
        <v>6324</v>
      </c>
      <c r="AD1392" s="663" t="s">
        <v>4941</v>
      </c>
      <c r="AE1392" s="663" t="s">
        <v>4939</v>
      </c>
      <c r="AF1392" s="663" t="s">
        <v>4962</v>
      </c>
    </row>
    <row r="1393" spans="1:32" s="608" customFormat="1" x14ac:dyDescent="0.25">
      <c r="A1393" s="624"/>
      <c r="B1393" s="617">
        <v>39061002700</v>
      </c>
      <c r="C1393" s="617" t="s">
        <v>3061</v>
      </c>
      <c r="D1393" s="617" t="s">
        <v>55</v>
      </c>
      <c r="E1393" s="617" t="s">
        <v>4850</v>
      </c>
      <c r="F1393" s="617" t="s">
        <v>24</v>
      </c>
      <c r="G1393" s="624"/>
      <c r="O1393" s="616"/>
      <c r="P1393" s="616"/>
      <c r="Q1393" s="616"/>
      <c r="AA1393" s="624"/>
      <c r="AB1393" s="663">
        <v>39061010600</v>
      </c>
      <c r="AC1393" s="663" t="s">
        <v>6325</v>
      </c>
      <c r="AD1393" s="663" t="s">
        <v>4941</v>
      </c>
      <c r="AE1393" s="663" t="s">
        <v>4928</v>
      </c>
      <c r="AF1393" s="663" t="s">
        <v>4962</v>
      </c>
    </row>
    <row r="1394" spans="1:32" s="608" customFormat="1" x14ac:dyDescent="0.25">
      <c r="A1394" s="624"/>
      <c r="B1394" s="617">
        <v>39061002800</v>
      </c>
      <c r="C1394" s="617" t="s">
        <v>3062</v>
      </c>
      <c r="D1394" s="617" t="s">
        <v>55</v>
      </c>
      <c r="E1394" s="617" t="s">
        <v>4850</v>
      </c>
      <c r="F1394" s="617" t="s">
        <v>26</v>
      </c>
      <c r="G1394" s="624"/>
      <c r="O1394" s="616"/>
      <c r="P1394" s="616"/>
      <c r="Q1394" s="616"/>
      <c r="AA1394" s="624"/>
      <c r="AB1394" s="663">
        <v>39061010700</v>
      </c>
      <c r="AC1394" s="663" t="s">
        <v>6326</v>
      </c>
      <c r="AD1394" s="663" t="s">
        <v>4950</v>
      </c>
      <c r="AE1394" s="663" t="s">
        <v>4942</v>
      </c>
      <c r="AF1394" s="663" t="s">
        <v>4946</v>
      </c>
    </row>
    <row r="1395" spans="1:32" s="608" customFormat="1" x14ac:dyDescent="0.25">
      <c r="A1395" s="624"/>
      <c r="B1395" s="617">
        <v>39061002901</v>
      </c>
      <c r="C1395" s="617" t="s">
        <v>3063</v>
      </c>
      <c r="D1395" s="617" t="s">
        <v>55</v>
      </c>
      <c r="E1395" s="617" t="s">
        <v>4850</v>
      </c>
      <c r="F1395" s="617" t="s">
        <v>24</v>
      </c>
      <c r="G1395" s="624"/>
      <c r="O1395" s="616"/>
      <c r="P1395" s="616"/>
      <c r="Q1395" s="616"/>
      <c r="AA1395" s="624"/>
      <c r="AB1395" s="663">
        <v>39061010800</v>
      </c>
      <c r="AC1395" s="663" t="s">
        <v>6327</v>
      </c>
      <c r="AD1395" s="663" t="s">
        <v>4941</v>
      </c>
      <c r="AE1395" s="663" t="s">
        <v>4942</v>
      </c>
      <c r="AF1395" s="663" t="s">
        <v>4946</v>
      </c>
    </row>
    <row r="1396" spans="1:32" s="608" customFormat="1" x14ac:dyDescent="0.25">
      <c r="A1396" s="624"/>
      <c r="B1396" s="617">
        <v>39061002902</v>
      </c>
      <c r="C1396" s="617" t="s">
        <v>3064</v>
      </c>
      <c r="D1396" s="617" t="s">
        <v>55</v>
      </c>
      <c r="E1396" s="617" t="s">
        <v>4850</v>
      </c>
      <c r="F1396" s="617" t="s">
        <v>24</v>
      </c>
      <c r="G1396" s="624"/>
      <c r="O1396" s="616"/>
      <c r="P1396" s="616"/>
      <c r="Q1396" s="616"/>
      <c r="AA1396" s="624"/>
      <c r="AB1396" s="663">
        <v>39061010900</v>
      </c>
      <c r="AC1396" s="663" t="s">
        <v>6328</v>
      </c>
      <c r="AD1396" s="663" t="s">
        <v>4948</v>
      </c>
      <c r="AE1396" s="663" t="s">
        <v>4934</v>
      </c>
      <c r="AF1396" s="663" t="s">
        <v>4962</v>
      </c>
    </row>
    <row r="1397" spans="1:32" s="608" customFormat="1" x14ac:dyDescent="0.25">
      <c r="A1397" s="624"/>
      <c r="B1397" s="617">
        <v>39061003000</v>
      </c>
      <c r="C1397" s="617" t="s">
        <v>3065</v>
      </c>
      <c r="D1397" s="617" t="s">
        <v>55</v>
      </c>
      <c r="E1397" s="617" t="s">
        <v>4850</v>
      </c>
      <c r="F1397" s="617" t="s">
        <v>24</v>
      </c>
      <c r="G1397" s="624"/>
      <c r="O1397" s="616"/>
      <c r="P1397" s="616"/>
      <c r="Q1397" s="616"/>
      <c r="AA1397" s="624"/>
      <c r="AB1397" s="663">
        <v>39061011000</v>
      </c>
      <c r="AC1397" s="663" t="s">
        <v>6329</v>
      </c>
      <c r="AD1397" s="663" t="s">
        <v>4950</v>
      </c>
      <c r="AE1397" s="663" t="s">
        <v>4939</v>
      </c>
      <c r="AF1397" s="663" t="s">
        <v>4962</v>
      </c>
    </row>
    <row r="1398" spans="1:32" s="608" customFormat="1" x14ac:dyDescent="0.25">
      <c r="A1398" s="624"/>
      <c r="B1398" s="617">
        <v>39061003200</v>
      </c>
      <c r="C1398" s="617" t="s">
        <v>3066</v>
      </c>
      <c r="D1398" s="617" t="s">
        <v>55</v>
      </c>
      <c r="E1398" s="617" t="s">
        <v>4850</v>
      </c>
      <c r="F1398" s="617" t="s">
        <v>24</v>
      </c>
      <c r="G1398" s="624"/>
      <c r="O1398" s="616"/>
      <c r="P1398" s="616"/>
      <c r="Q1398" s="616"/>
      <c r="AA1398" s="624"/>
      <c r="AB1398" s="663">
        <v>39061011100</v>
      </c>
      <c r="AC1398" s="663" t="s">
        <v>6330</v>
      </c>
      <c r="AD1398" s="663" t="s">
        <v>4950</v>
      </c>
      <c r="AE1398" s="663" t="s">
        <v>4939</v>
      </c>
      <c r="AF1398" s="663" t="s">
        <v>4946</v>
      </c>
    </row>
    <row r="1399" spans="1:32" s="608" customFormat="1" x14ac:dyDescent="0.25">
      <c r="A1399" s="624"/>
      <c r="B1399" s="617">
        <v>39061003300</v>
      </c>
      <c r="C1399" s="617" t="s">
        <v>3067</v>
      </c>
      <c r="D1399" s="617" t="s">
        <v>55</v>
      </c>
      <c r="E1399" s="617" t="s">
        <v>4850</v>
      </c>
      <c r="F1399" s="617" t="s">
        <v>24</v>
      </c>
      <c r="G1399" s="624"/>
      <c r="O1399" s="616"/>
      <c r="P1399" s="616"/>
      <c r="Q1399" s="616"/>
      <c r="AA1399" s="624"/>
      <c r="AB1399" s="663">
        <v>39061020401</v>
      </c>
      <c r="AC1399" s="663" t="s">
        <v>6331</v>
      </c>
      <c r="AD1399" s="663" t="s">
        <v>4950</v>
      </c>
      <c r="AE1399" s="663" t="s">
        <v>4939</v>
      </c>
      <c r="AF1399" s="663" t="s">
        <v>4946</v>
      </c>
    </row>
    <row r="1400" spans="1:32" s="608" customFormat="1" x14ac:dyDescent="0.25">
      <c r="A1400" s="624"/>
      <c r="B1400" s="617">
        <v>39061003600</v>
      </c>
      <c r="C1400" s="617" t="s">
        <v>3068</v>
      </c>
      <c r="D1400" s="617" t="s">
        <v>55</v>
      </c>
      <c r="E1400" s="617" t="s">
        <v>4850</v>
      </c>
      <c r="F1400" s="617" t="s">
        <v>24</v>
      </c>
      <c r="G1400" s="624"/>
      <c r="O1400" s="616"/>
      <c r="P1400" s="616"/>
      <c r="Q1400" s="616"/>
      <c r="AA1400" s="624"/>
      <c r="AB1400" s="663">
        <v>39061020403</v>
      </c>
      <c r="AC1400" s="663" t="s">
        <v>6332</v>
      </c>
      <c r="AD1400" s="663" t="s">
        <v>4948</v>
      </c>
      <c r="AE1400" s="663" t="s">
        <v>4931</v>
      </c>
      <c r="AF1400" s="663" t="s">
        <v>4946</v>
      </c>
    </row>
    <row r="1401" spans="1:32" s="608" customFormat="1" x14ac:dyDescent="0.25">
      <c r="A1401" s="624"/>
      <c r="B1401" s="617">
        <v>39061003700</v>
      </c>
      <c r="C1401" s="617" t="s">
        <v>3069</v>
      </c>
      <c r="D1401" s="617" t="s">
        <v>55</v>
      </c>
      <c r="E1401" s="617" t="s">
        <v>4850</v>
      </c>
      <c r="F1401" s="617" t="s">
        <v>24</v>
      </c>
      <c r="G1401" s="624"/>
      <c r="O1401" s="616"/>
      <c r="P1401" s="616"/>
      <c r="Q1401" s="616"/>
      <c r="AA1401" s="624"/>
      <c r="AB1401" s="663">
        <v>39061020404</v>
      </c>
      <c r="AC1401" s="663" t="s">
        <v>6333</v>
      </c>
      <c r="AD1401" s="663" t="s">
        <v>4948</v>
      </c>
      <c r="AE1401" s="663" t="s">
        <v>4931</v>
      </c>
      <c r="AF1401" s="663" t="s">
        <v>4946</v>
      </c>
    </row>
    <row r="1402" spans="1:32" s="608" customFormat="1" x14ac:dyDescent="0.25">
      <c r="A1402" s="624"/>
      <c r="B1402" s="617">
        <v>39061003800</v>
      </c>
      <c r="C1402" s="617" t="s">
        <v>3070</v>
      </c>
      <c r="D1402" s="617" t="s">
        <v>55</v>
      </c>
      <c r="E1402" s="617" t="s">
        <v>4850</v>
      </c>
      <c r="F1402" s="617" t="s">
        <v>24</v>
      </c>
      <c r="G1402" s="624"/>
      <c r="O1402" s="616"/>
      <c r="P1402" s="616"/>
      <c r="Q1402" s="616"/>
      <c r="AA1402" s="624"/>
      <c r="AB1402" s="663">
        <v>39061020501</v>
      </c>
      <c r="AC1402" s="663" t="s">
        <v>6334</v>
      </c>
      <c r="AD1402" s="663" t="s">
        <v>4941</v>
      </c>
      <c r="AE1402" s="663" t="s">
        <v>4939</v>
      </c>
      <c r="AF1402" s="663" t="s">
        <v>4929</v>
      </c>
    </row>
    <row r="1403" spans="1:32" s="608" customFormat="1" x14ac:dyDescent="0.25">
      <c r="A1403" s="624"/>
      <c r="B1403" s="617">
        <v>39061003900</v>
      </c>
      <c r="C1403" s="617" t="s">
        <v>3071</v>
      </c>
      <c r="D1403" s="617" t="s">
        <v>55</v>
      </c>
      <c r="E1403" s="617" t="s">
        <v>4850</v>
      </c>
      <c r="F1403" s="617" t="s">
        <v>24</v>
      </c>
      <c r="G1403" s="624"/>
      <c r="O1403" s="616"/>
      <c r="P1403" s="616"/>
      <c r="Q1403" s="616"/>
      <c r="AA1403" s="624"/>
      <c r="AB1403" s="663">
        <v>39061020502</v>
      </c>
      <c r="AC1403" s="663" t="s">
        <v>6335</v>
      </c>
      <c r="AD1403" s="663" t="s">
        <v>4938</v>
      </c>
      <c r="AE1403" s="663" t="s">
        <v>4942</v>
      </c>
      <c r="AF1403" s="663" t="s">
        <v>4929</v>
      </c>
    </row>
    <row r="1404" spans="1:32" s="608" customFormat="1" x14ac:dyDescent="0.25">
      <c r="A1404" s="624"/>
      <c r="B1404" s="617">
        <v>39061004000</v>
      </c>
      <c r="C1404" s="617" t="s">
        <v>3072</v>
      </c>
      <c r="D1404" s="617" t="s">
        <v>55</v>
      </c>
      <c r="E1404" s="617" t="s">
        <v>4850</v>
      </c>
      <c r="F1404" s="617" t="s">
        <v>26</v>
      </c>
      <c r="G1404" s="624"/>
      <c r="O1404" s="616"/>
      <c r="P1404" s="616"/>
      <c r="Q1404" s="616"/>
      <c r="AA1404" s="624"/>
      <c r="AB1404" s="663">
        <v>39061020504</v>
      </c>
      <c r="AC1404" s="663" t="s">
        <v>6336</v>
      </c>
      <c r="AD1404" s="663" t="s">
        <v>4941</v>
      </c>
      <c r="AE1404" s="663" t="s">
        <v>4939</v>
      </c>
      <c r="AF1404" s="663" t="s">
        <v>4946</v>
      </c>
    </row>
    <row r="1405" spans="1:32" s="608" customFormat="1" x14ac:dyDescent="0.25">
      <c r="A1405" s="624"/>
      <c r="B1405" s="617">
        <v>39061004100</v>
      </c>
      <c r="C1405" s="617" t="s">
        <v>3073</v>
      </c>
      <c r="D1405" s="617" t="s">
        <v>55</v>
      </c>
      <c r="E1405" s="617" t="s">
        <v>4850</v>
      </c>
      <c r="F1405" s="617" t="s">
        <v>26</v>
      </c>
      <c r="G1405" s="624"/>
      <c r="O1405" s="616"/>
      <c r="P1405" s="616"/>
      <c r="Q1405" s="616"/>
      <c r="AA1405" s="624"/>
      <c r="AB1405" s="663">
        <v>39061020505</v>
      </c>
      <c r="AC1405" s="663" t="s">
        <v>6337</v>
      </c>
      <c r="AD1405" s="663" t="s">
        <v>4950</v>
      </c>
      <c r="AE1405" s="663" t="s">
        <v>4928</v>
      </c>
      <c r="AF1405" s="663" t="s">
        <v>4946</v>
      </c>
    </row>
    <row r="1406" spans="1:32" s="608" customFormat="1" x14ac:dyDescent="0.25">
      <c r="A1406" s="624"/>
      <c r="B1406" s="617">
        <v>39061004200</v>
      </c>
      <c r="C1406" s="617" t="s">
        <v>3074</v>
      </c>
      <c r="D1406" s="617" t="s">
        <v>55</v>
      </c>
      <c r="E1406" s="617" t="s">
        <v>4850</v>
      </c>
      <c r="F1406" s="617" t="s">
        <v>26</v>
      </c>
      <c r="G1406" s="624"/>
      <c r="O1406" s="616"/>
      <c r="P1406" s="616"/>
      <c r="Q1406" s="616"/>
      <c r="AA1406" s="624"/>
      <c r="AB1406" s="663">
        <v>39061020601</v>
      </c>
      <c r="AC1406" s="663" t="s">
        <v>6338</v>
      </c>
      <c r="AD1406" s="663" t="s">
        <v>4941</v>
      </c>
      <c r="AE1406" s="663" t="s">
        <v>4934</v>
      </c>
      <c r="AF1406" s="663" t="s">
        <v>4946</v>
      </c>
    </row>
    <row r="1407" spans="1:32" s="608" customFormat="1" x14ac:dyDescent="0.25">
      <c r="A1407" s="624"/>
      <c r="B1407" s="617">
        <v>39061004602</v>
      </c>
      <c r="C1407" s="617" t="s">
        <v>3075</v>
      </c>
      <c r="D1407" s="617" t="s">
        <v>55</v>
      </c>
      <c r="E1407" s="617" t="s">
        <v>4850</v>
      </c>
      <c r="F1407" s="617" t="s">
        <v>26</v>
      </c>
      <c r="G1407" s="624"/>
      <c r="O1407" s="616"/>
      <c r="P1407" s="616"/>
      <c r="Q1407" s="616"/>
      <c r="AA1407" s="624"/>
      <c r="AB1407" s="663">
        <v>39061020602</v>
      </c>
      <c r="AC1407" s="663" t="s">
        <v>6339</v>
      </c>
      <c r="AD1407" s="663" t="s">
        <v>4948</v>
      </c>
      <c r="AE1407" s="663" t="s">
        <v>4934</v>
      </c>
      <c r="AF1407" s="663" t="s">
        <v>4946</v>
      </c>
    </row>
    <row r="1408" spans="1:32" s="608" customFormat="1" x14ac:dyDescent="0.25">
      <c r="A1408" s="624"/>
      <c r="B1408" s="617">
        <v>39061004603</v>
      </c>
      <c r="C1408" s="617" t="s">
        <v>3076</v>
      </c>
      <c r="D1408" s="617" t="s">
        <v>55</v>
      </c>
      <c r="E1408" s="617" t="s">
        <v>4850</v>
      </c>
      <c r="F1408" s="617" t="s">
        <v>26</v>
      </c>
      <c r="G1408" s="624"/>
      <c r="O1408" s="616"/>
      <c r="P1408" s="616"/>
      <c r="Q1408" s="616"/>
      <c r="AA1408" s="624"/>
      <c r="AB1408" s="663">
        <v>39061020701</v>
      </c>
      <c r="AC1408" s="663" t="s">
        <v>6340</v>
      </c>
      <c r="AD1408" s="663" t="s">
        <v>4948</v>
      </c>
      <c r="AE1408" s="663" t="s">
        <v>4942</v>
      </c>
      <c r="AF1408" s="663" t="s">
        <v>4946</v>
      </c>
    </row>
    <row r="1409" spans="1:32" s="608" customFormat="1" x14ac:dyDescent="0.25">
      <c r="A1409" s="624"/>
      <c r="B1409" s="617">
        <v>39061004604</v>
      </c>
      <c r="C1409" s="617" t="s">
        <v>3077</v>
      </c>
      <c r="D1409" s="617" t="s">
        <v>55</v>
      </c>
      <c r="E1409" s="617" t="s">
        <v>4850</v>
      </c>
      <c r="F1409" s="617" t="s">
        <v>26</v>
      </c>
      <c r="G1409" s="624"/>
      <c r="O1409" s="616"/>
      <c r="P1409" s="616"/>
      <c r="Q1409" s="616"/>
      <c r="AA1409" s="624"/>
      <c r="AB1409" s="663">
        <v>39061020705</v>
      </c>
      <c r="AC1409" s="663" t="s">
        <v>6341</v>
      </c>
      <c r="AD1409" s="663" t="s">
        <v>4950</v>
      </c>
      <c r="AE1409" s="663" t="s">
        <v>4939</v>
      </c>
      <c r="AF1409" s="663" t="s">
        <v>4946</v>
      </c>
    </row>
    <row r="1410" spans="1:32" s="608" customFormat="1" x14ac:dyDescent="0.25">
      <c r="A1410" s="624"/>
      <c r="B1410" s="617">
        <v>39061004605</v>
      </c>
      <c r="C1410" s="617" t="s">
        <v>3078</v>
      </c>
      <c r="D1410" s="617" t="s">
        <v>55</v>
      </c>
      <c r="E1410" s="617" t="s">
        <v>4850</v>
      </c>
      <c r="F1410" s="617" t="s">
        <v>26</v>
      </c>
      <c r="G1410" s="624"/>
      <c r="O1410" s="616"/>
      <c r="P1410" s="616"/>
      <c r="Q1410" s="616"/>
      <c r="AA1410" s="624"/>
      <c r="AB1410" s="663">
        <v>39061020707</v>
      </c>
      <c r="AC1410" s="663" t="s">
        <v>6342</v>
      </c>
      <c r="AD1410" s="663" t="s">
        <v>4941</v>
      </c>
      <c r="AE1410" s="663" t="s">
        <v>4942</v>
      </c>
      <c r="AF1410" s="663" t="s">
        <v>4946</v>
      </c>
    </row>
    <row r="1411" spans="1:32" s="608" customFormat="1" x14ac:dyDescent="0.25">
      <c r="A1411" s="624"/>
      <c r="B1411" s="617">
        <v>39061004703</v>
      </c>
      <c r="C1411" s="617" t="s">
        <v>3079</v>
      </c>
      <c r="D1411" s="617" t="s">
        <v>55</v>
      </c>
      <c r="E1411" s="617" t="s">
        <v>4850</v>
      </c>
      <c r="F1411" s="617" t="s">
        <v>26</v>
      </c>
      <c r="G1411" s="624"/>
      <c r="O1411" s="616"/>
      <c r="P1411" s="616"/>
      <c r="Q1411" s="616"/>
      <c r="AA1411" s="624"/>
      <c r="AB1411" s="663">
        <v>39061020741</v>
      </c>
      <c r="AC1411" s="663" t="s">
        <v>6343</v>
      </c>
      <c r="AD1411" s="663" t="s">
        <v>4948</v>
      </c>
      <c r="AE1411" s="663" t="s">
        <v>4939</v>
      </c>
      <c r="AF1411" s="663" t="s">
        <v>4946</v>
      </c>
    </row>
    <row r="1412" spans="1:32" s="608" customFormat="1" x14ac:dyDescent="0.25">
      <c r="A1412" s="624"/>
      <c r="B1412" s="617">
        <v>39061004800</v>
      </c>
      <c r="C1412" s="617" t="s">
        <v>3080</v>
      </c>
      <c r="D1412" s="617" t="s">
        <v>55</v>
      </c>
      <c r="E1412" s="617" t="s">
        <v>4850</v>
      </c>
      <c r="F1412" s="617" t="s">
        <v>26</v>
      </c>
      <c r="G1412" s="624"/>
      <c r="O1412" s="616"/>
      <c r="P1412" s="616"/>
      <c r="Q1412" s="616"/>
      <c r="AA1412" s="624"/>
      <c r="AB1412" s="663">
        <v>39061020742</v>
      </c>
      <c r="AC1412" s="663" t="s">
        <v>6344</v>
      </c>
      <c r="AD1412" s="663" t="s">
        <v>4950</v>
      </c>
      <c r="AE1412" s="663" t="s">
        <v>4934</v>
      </c>
      <c r="AF1412" s="663" t="s">
        <v>4946</v>
      </c>
    </row>
    <row r="1413" spans="1:32" s="608" customFormat="1" x14ac:dyDescent="0.25">
      <c r="A1413" s="624"/>
      <c r="B1413" s="617">
        <v>39061004900</v>
      </c>
      <c r="C1413" s="617" t="s">
        <v>3081</v>
      </c>
      <c r="D1413" s="617" t="s">
        <v>55</v>
      </c>
      <c r="E1413" s="617" t="s">
        <v>4850</v>
      </c>
      <c r="F1413" s="617" t="s">
        <v>26</v>
      </c>
      <c r="G1413" s="624"/>
      <c r="O1413" s="616"/>
      <c r="P1413" s="616"/>
      <c r="Q1413" s="616"/>
      <c r="AA1413" s="624"/>
      <c r="AB1413" s="663">
        <v>39061020761</v>
      </c>
      <c r="AC1413" s="663" t="s">
        <v>6345</v>
      </c>
      <c r="AD1413" s="663" t="s">
        <v>4948</v>
      </c>
      <c r="AE1413" s="663" t="s">
        <v>4939</v>
      </c>
      <c r="AF1413" s="663" t="s">
        <v>4946</v>
      </c>
    </row>
    <row r="1414" spans="1:32" s="608" customFormat="1" x14ac:dyDescent="0.25">
      <c r="A1414" s="624"/>
      <c r="B1414" s="617">
        <v>39061005000</v>
      </c>
      <c r="C1414" s="617" t="s">
        <v>3082</v>
      </c>
      <c r="D1414" s="617" t="s">
        <v>55</v>
      </c>
      <c r="E1414" s="617" t="s">
        <v>4850</v>
      </c>
      <c r="F1414" s="617" t="s">
        <v>26</v>
      </c>
      <c r="G1414" s="624"/>
      <c r="O1414" s="616"/>
      <c r="P1414" s="616"/>
      <c r="Q1414" s="616"/>
      <c r="AA1414" s="624"/>
      <c r="AB1414" s="663">
        <v>39061020762</v>
      </c>
      <c r="AC1414" s="663" t="s">
        <v>6346</v>
      </c>
      <c r="AD1414" s="663" t="s">
        <v>4950</v>
      </c>
      <c r="AE1414" s="663" t="s">
        <v>4931</v>
      </c>
      <c r="AF1414" s="663" t="s">
        <v>4946</v>
      </c>
    </row>
    <row r="1415" spans="1:32" s="608" customFormat="1" x14ac:dyDescent="0.25">
      <c r="A1415" s="624"/>
      <c r="B1415" s="617">
        <v>39061005100</v>
      </c>
      <c r="C1415" s="617" t="s">
        <v>3083</v>
      </c>
      <c r="D1415" s="617" t="s">
        <v>55</v>
      </c>
      <c r="E1415" s="617" t="s">
        <v>4850</v>
      </c>
      <c r="F1415" s="617" t="s">
        <v>26</v>
      </c>
      <c r="G1415" s="624"/>
      <c r="O1415" s="616"/>
      <c r="P1415" s="616"/>
      <c r="Q1415" s="616"/>
      <c r="AA1415" s="624"/>
      <c r="AB1415" s="663">
        <v>39061020802</v>
      </c>
      <c r="AC1415" s="663" t="s">
        <v>6347</v>
      </c>
      <c r="AD1415" s="663" t="s">
        <v>4941</v>
      </c>
      <c r="AE1415" s="663" t="s">
        <v>4928</v>
      </c>
      <c r="AF1415" s="663" t="s">
        <v>4946</v>
      </c>
    </row>
    <row r="1416" spans="1:32" s="608" customFormat="1" x14ac:dyDescent="0.25">
      <c r="A1416" s="624"/>
      <c r="B1416" s="617">
        <v>39061005200</v>
      </c>
      <c r="C1416" s="617" t="s">
        <v>3084</v>
      </c>
      <c r="D1416" s="617" t="s">
        <v>55</v>
      </c>
      <c r="E1416" s="617" t="s">
        <v>4850</v>
      </c>
      <c r="F1416" s="617" t="s">
        <v>26</v>
      </c>
      <c r="G1416" s="624"/>
      <c r="O1416" s="616"/>
      <c r="P1416" s="616"/>
      <c r="Q1416" s="616"/>
      <c r="AA1416" s="624"/>
      <c r="AB1416" s="663">
        <v>39061020811</v>
      </c>
      <c r="AC1416" s="663" t="s">
        <v>6348</v>
      </c>
      <c r="AD1416" s="663" t="s">
        <v>4948</v>
      </c>
      <c r="AE1416" s="663" t="s">
        <v>4931</v>
      </c>
      <c r="AF1416" s="663" t="s">
        <v>4946</v>
      </c>
    </row>
    <row r="1417" spans="1:32" s="608" customFormat="1" x14ac:dyDescent="0.25">
      <c r="A1417" s="624"/>
      <c r="B1417" s="617">
        <v>39061005301</v>
      </c>
      <c r="C1417" s="617" t="s">
        <v>3085</v>
      </c>
      <c r="D1417" s="617" t="s">
        <v>55</v>
      </c>
      <c r="E1417" s="617" t="s">
        <v>4850</v>
      </c>
      <c r="F1417" s="617" t="s">
        <v>26</v>
      </c>
      <c r="G1417" s="624"/>
      <c r="O1417" s="616"/>
      <c r="P1417" s="616"/>
      <c r="Q1417" s="616"/>
      <c r="AA1417" s="624"/>
      <c r="AB1417" s="663">
        <v>39061020812</v>
      </c>
      <c r="AC1417" s="663" t="s">
        <v>6349</v>
      </c>
      <c r="AD1417" s="663" t="s">
        <v>4941</v>
      </c>
      <c r="AE1417" s="663" t="s">
        <v>4931</v>
      </c>
      <c r="AF1417" s="663" t="s">
        <v>4946</v>
      </c>
    </row>
    <row r="1418" spans="1:32" s="608" customFormat="1" x14ac:dyDescent="0.25">
      <c r="A1418" s="624"/>
      <c r="B1418" s="617">
        <v>39061005302</v>
      </c>
      <c r="C1418" s="617" t="s">
        <v>3086</v>
      </c>
      <c r="D1418" s="617" t="s">
        <v>55</v>
      </c>
      <c r="E1418" s="617" t="s">
        <v>4850</v>
      </c>
      <c r="F1418" s="617" t="s">
        <v>26</v>
      </c>
      <c r="G1418" s="624"/>
      <c r="O1418" s="616"/>
      <c r="P1418" s="616"/>
      <c r="Q1418" s="616"/>
      <c r="AA1418" s="624"/>
      <c r="AB1418" s="663">
        <v>39061020901</v>
      </c>
      <c r="AC1418" s="663" t="s">
        <v>6350</v>
      </c>
      <c r="AD1418" s="663" t="s">
        <v>4950</v>
      </c>
      <c r="AE1418" s="663" t="s">
        <v>4928</v>
      </c>
      <c r="AF1418" s="663" t="s">
        <v>4946</v>
      </c>
    </row>
    <row r="1419" spans="1:32" s="608" customFormat="1" x14ac:dyDescent="0.25">
      <c r="A1419" s="624"/>
      <c r="B1419" s="617">
        <v>39061005500</v>
      </c>
      <c r="C1419" s="617" t="s">
        <v>3087</v>
      </c>
      <c r="D1419" s="617" t="s">
        <v>55</v>
      </c>
      <c r="E1419" s="617" t="s">
        <v>4850</v>
      </c>
      <c r="F1419" s="617" t="s">
        <v>26</v>
      </c>
      <c r="G1419" s="624"/>
      <c r="O1419" s="616"/>
      <c r="P1419" s="616"/>
      <c r="Q1419" s="616"/>
      <c r="AA1419" s="624"/>
      <c r="AB1419" s="663">
        <v>39061020902</v>
      </c>
      <c r="AC1419" s="663" t="s">
        <v>6351</v>
      </c>
      <c r="AD1419" s="663" t="s">
        <v>4950</v>
      </c>
      <c r="AE1419" s="663" t="s">
        <v>4939</v>
      </c>
      <c r="AF1419" s="663" t="s">
        <v>4946</v>
      </c>
    </row>
    <row r="1420" spans="1:32" s="608" customFormat="1" x14ac:dyDescent="0.25">
      <c r="A1420" s="624"/>
      <c r="B1420" s="617">
        <v>39061005600</v>
      </c>
      <c r="C1420" s="617" t="s">
        <v>3088</v>
      </c>
      <c r="D1420" s="617" t="s">
        <v>55</v>
      </c>
      <c r="E1420" s="617" t="s">
        <v>4850</v>
      </c>
      <c r="F1420" s="617" t="s">
        <v>26</v>
      </c>
      <c r="G1420" s="624"/>
      <c r="O1420" s="616"/>
      <c r="P1420" s="616"/>
      <c r="Q1420" s="616"/>
      <c r="AA1420" s="624"/>
      <c r="AB1420" s="663">
        <v>39061021001</v>
      </c>
      <c r="AC1420" s="663" t="s">
        <v>6352</v>
      </c>
      <c r="AD1420" s="663" t="s">
        <v>4948</v>
      </c>
      <c r="AE1420" s="663" t="s">
        <v>4931</v>
      </c>
      <c r="AF1420" s="663" t="s">
        <v>4946</v>
      </c>
    </row>
    <row r="1421" spans="1:32" s="608" customFormat="1" x14ac:dyDescent="0.25">
      <c r="A1421" s="624"/>
      <c r="B1421" s="617">
        <v>39061005701</v>
      </c>
      <c r="C1421" s="617" t="s">
        <v>3089</v>
      </c>
      <c r="D1421" s="617" t="s">
        <v>55</v>
      </c>
      <c r="E1421" s="617" t="s">
        <v>4850</v>
      </c>
      <c r="F1421" s="617" t="s">
        <v>26</v>
      </c>
      <c r="G1421" s="624"/>
      <c r="O1421" s="616"/>
      <c r="P1421" s="616"/>
      <c r="Q1421" s="616"/>
      <c r="AA1421" s="624"/>
      <c r="AB1421" s="663">
        <v>39061021002</v>
      </c>
      <c r="AC1421" s="663" t="s">
        <v>6353</v>
      </c>
      <c r="AD1421" s="663" t="s">
        <v>4941</v>
      </c>
      <c r="AE1421" s="663" t="s">
        <v>4942</v>
      </c>
      <c r="AF1421" s="663" t="s">
        <v>4946</v>
      </c>
    </row>
    <row r="1422" spans="1:32" s="608" customFormat="1" x14ac:dyDescent="0.25">
      <c r="A1422" s="624"/>
      <c r="B1422" s="617">
        <v>39061005702</v>
      </c>
      <c r="C1422" s="617" t="s">
        <v>3090</v>
      </c>
      <c r="D1422" s="617" t="s">
        <v>55</v>
      </c>
      <c r="E1422" s="617" t="s">
        <v>4850</v>
      </c>
      <c r="F1422" s="617" t="s">
        <v>26</v>
      </c>
      <c r="G1422" s="624"/>
      <c r="O1422" s="616"/>
      <c r="P1422" s="616"/>
      <c r="Q1422" s="616"/>
      <c r="AA1422" s="624"/>
      <c r="AB1422" s="663">
        <v>39061021003</v>
      </c>
      <c r="AC1422" s="663" t="s">
        <v>6354</v>
      </c>
      <c r="AD1422" s="663" t="s">
        <v>4941</v>
      </c>
      <c r="AE1422" s="663" t="s">
        <v>4928</v>
      </c>
      <c r="AF1422" s="663" t="s">
        <v>4946</v>
      </c>
    </row>
    <row r="1423" spans="1:32" s="608" customFormat="1" x14ac:dyDescent="0.25">
      <c r="A1423" s="624"/>
      <c r="B1423" s="617">
        <v>39061005800</v>
      </c>
      <c r="C1423" s="617" t="s">
        <v>3091</v>
      </c>
      <c r="D1423" s="617" t="s">
        <v>55</v>
      </c>
      <c r="E1423" s="617" t="s">
        <v>4850</v>
      </c>
      <c r="F1423" s="617" t="s">
        <v>24</v>
      </c>
      <c r="G1423" s="624"/>
      <c r="O1423" s="616"/>
      <c r="P1423" s="616"/>
      <c r="Q1423" s="616"/>
      <c r="AA1423" s="624"/>
      <c r="AB1423" s="663">
        <v>39061021101</v>
      </c>
      <c r="AC1423" s="663" t="s">
        <v>6355</v>
      </c>
      <c r="AD1423" s="663" t="s">
        <v>4941</v>
      </c>
      <c r="AE1423" s="663" t="s">
        <v>4942</v>
      </c>
      <c r="AF1423" s="663" t="s">
        <v>4946</v>
      </c>
    </row>
    <row r="1424" spans="1:32" s="608" customFormat="1" x14ac:dyDescent="0.25">
      <c r="A1424" s="624"/>
      <c r="B1424" s="617">
        <v>39061005900</v>
      </c>
      <c r="C1424" s="617" t="s">
        <v>3092</v>
      </c>
      <c r="D1424" s="617" t="s">
        <v>55</v>
      </c>
      <c r="E1424" s="617" t="s">
        <v>4850</v>
      </c>
      <c r="F1424" s="617" t="s">
        <v>26</v>
      </c>
      <c r="G1424" s="624"/>
      <c r="O1424" s="616"/>
      <c r="P1424" s="616"/>
      <c r="Q1424" s="616"/>
      <c r="AA1424" s="624"/>
      <c r="AB1424" s="663">
        <v>39061021102</v>
      </c>
      <c r="AC1424" s="663" t="s">
        <v>6356</v>
      </c>
      <c r="AD1424" s="663" t="s">
        <v>4941</v>
      </c>
      <c r="AE1424" s="663" t="s">
        <v>4931</v>
      </c>
      <c r="AF1424" s="663" t="s">
        <v>4946</v>
      </c>
    </row>
    <row r="1425" spans="1:32" s="608" customFormat="1" x14ac:dyDescent="0.25">
      <c r="A1425" s="624"/>
      <c r="B1425" s="617">
        <v>39061006000</v>
      </c>
      <c r="C1425" s="617" t="s">
        <v>3093</v>
      </c>
      <c r="D1425" s="617" t="s">
        <v>55</v>
      </c>
      <c r="E1425" s="617" t="s">
        <v>4850</v>
      </c>
      <c r="F1425" s="617" t="s">
        <v>26</v>
      </c>
      <c r="G1425" s="624"/>
      <c r="O1425" s="616"/>
      <c r="P1425" s="616"/>
      <c r="Q1425" s="616"/>
      <c r="AA1425" s="624"/>
      <c r="AB1425" s="663">
        <v>39061021201</v>
      </c>
      <c r="AC1425" s="663" t="s">
        <v>6357</v>
      </c>
      <c r="AD1425" s="663" t="s">
        <v>4941</v>
      </c>
      <c r="AE1425" s="663" t="s">
        <v>4934</v>
      </c>
      <c r="AF1425" s="663" t="s">
        <v>4946</v>
      </c>
    </row>
    <row r="1426" spans="1:32" s="608" customFormat="1" x14ac:dyDescent="0.25">
      <c r="A1426" s="624"/>
      <c r="B1426" s="617">
        <v>39061006100</v>
      </c>
      <c r="C1426" s="617" t="s">
        <v>3094</v>
      </c>
      <c r="D1426" s="617" t="s">
        <v>55</v>
      </c>
      <c r="E1426" s="617" t="s">
        <v>4850</v>
      </c>
      <c r="F1426" s="617" t="s">
        <v>24</v>
      </c>
      <c r="G1426" s="624"/>
      <c r="O1426" s="616"/>
      <c r="P1426" s="616"/>
      <c r="Q1426" s="616"/>
      <c r="AA1426" s="624"/>
      <c r="AB1426" s="663">
        <v>39061021202</v>
      </c>
      <c r="AC1426" s="663" t="s">
        <v>6358</v>
      </c>
      <c r="AD1426" s="663" t="s">
        <v>4948</v>
      </c>
      <c r="AE1426" s="663" t="s">
        <v>4928</v>
      </c>
      <c r="AF1426" s="663" t="s">
        <v>4946</v>
      </c>
    </row>
    <row r="1427" spans="1:32" s="608" customFormat="1" x14ac:dyDescent="0.25">
      <c r="A1427" s="624"/>
      <c r="B1427" s="617">
        <v>39061006300</v>
      </c>
      <c r="C1427" s="617" t="s">
        <v>3095</v>
      </c>
      <c r="D1427" s="617" t="s">
        <v>55</v>
      </c>
      <c r="E1427" s="617" t="s">
        <v>4850</v>
      </c>
      <c r="F1427" s="617" t="s">
        <v>24</v>
      </c>
      <c r="G1427" s="624"/>
      <c r="O1427" s="616"/>
      <c r="P1427" s="616"/>
      <c r="Q1427" s="616"/>
      <c r="AA1427" s="624"/>
      <c r="AB1427" s="663">
        <v>39061021302</v>
      </c>
      <c r="AC1427" s="663" t="s">
        <v>6359</v>
      </c>
      <c r="AD1427" s="663" t="s">
        <v>4941</v>
      </c>
      <c r="AE1427" s="663" t="s">
        <v>4934</v>
      </c>
      <c r="AF1427" s="663" t="s">
        <v>4946</v>
      </c>
    </row>
    <row r="1428" spans="1:32" s="608" customFormat="1" x14ac:dyDescent="0.25">
      <c r="A1428" s="624"/>
      <c r="B1428" s="617">
        <v>39061006400</v>
      </c>
      <c r="C1428" s="617" t="s">
        <v>3096</v>
      </c>
      <c r="D1428" s="617" t="s">
        <v>55</v>
      </c>
      <c r="E1428" s="617" t="s">
        <v>4850</v>
      </c>
      <c r="F1428" s="617" t="s">
        <v>24</v>
      </c>
      <c r="G1428" s="624"/>
      <c r="O1428" s="616"/>
      <c r="P1428" s="616"/>
      <c r="Q1428" s="616"/>
      <c r="AA1428" s="624"/>
      <c r="AB1428" s="663">
        <v>39061021303</v>
      </c>
      <c r="AC1428" s="663" t="s">
        <v>6360</v>
      </c>
      <c r="AD1428" s="663" t="s">
        <v>4941</v>
      </c>
      <c r="AE1428" s="663" t="s">
        <v>4942</v>
      </c>
      <c r="AF1428" s="663" t="s">
        <v>4946</v>
      </c>
    </row>
    <row r="1429" spans="1:32" s="608" customFormat="1" x14ac:dyDescent="0.25">
      <c r="A1429" s="624"/>
      <c r="B1429" s="617">
        <v>39061006501</v>
      </c>
      <c r="C1429" s="617" t="s">
        <v>3097</v>
      </c>
      <c r="D1429" s="617" t="s">
        <v>55</v>
      </c>
      <c r="E1429" s="617" t="s">
        <v>4850</v>
      </c>
      <c r="F1429" s="617" t="s">
        <v>26</v>
      </c>
      <c r="G1429" s="624"/>
      <c r="O1429" s="616"/>
      <c r="P1429" s="616"/>
      <c r="Q1429" s="616"/>
      <c r="AA1429" s="624"/>
      <c r="AB1429" s="663">
        <v>39061021304</v>
      </c>
      <c r="AC1429" s="663" t="s">
        <v>6361</v>
      </c>
      <c r="AD1429" s="663" t="s">
        <v>4948</v>
      </c>
      <c r="AE1429" s="663" t="s">
        <v>4939</v>
      </c>
      <c r="AF1429" s="663" t="s">
        <v>4946</v>
      </c>
    </row>
    <row r="1430" spans="1:32" s="608" customFormat="1" x14ac:dyDescent="0.25">
      <c r="A1430" s="624"/>
      <c r="B1430" s="617">
        <v>39061006502</v>
      </c>
      <c r="C1430" s="617" t="s">
        <v>3098</v>
      </c>
      <c r="D1430" s="617" t="s">
        <v>55</v>
      </c>
      <c r="E1430" s="617" t="s">
        <v>4850</v>
      </c>
      <c r="F1430" s="617" t="s">
        <v>26</v>
      </c>
      <c r="G1430" s="624"/>
      <c r="O1430" s="616"/>
      <c r="P1430" s="616"/>
      <c r="Q1430" s="616"/>
      <c r="AA1430" s="624"/>
      <c r="AB1430" s="663">
        <v>39061021401</v>
      </c>
      <c r="AC1430" s="663" t="s">
        <v>6362</v>
      </c>
      <c r="AD1430" s="663" t="s">
        <v>4950</v>
      </c>
      <c r="AE1430" s="663" t="s">
        <v>4942</v>
      </c>
      <c r="AF1430" s="663" t="s">
        <v>4946</v>
      </c>
    </row>
    <row r="1431" spans="1:32" s="608" customFormat="1" x14ac:dyDescent="0.25">
      <c r="A1431" s="624"/>
      <c r="B1431" s="617">
        <v>39061006600</v>
      </c>
      <c r="C1431" s="617" t="s">
        <v>3099</v>
      </c>
      <c r="D1431" s="617" t="s">
        <v>55</v>
      </c>
      <c r="E1431" s="617" t="s">
        <v>4850</v>
      </c>
      <c r="F1431" s="617" t="s">
        <v>24</v>
      </c>
      <c r="G1431" s="624"/>
      <c r="O1431" s="616"/>
      <c r="P1431" s="616"/>
      <c r="Q1431" s="616"/>
      <c r="AA1431" s="624"/>
      <c r="AB1431" s="663">
        <v>39061021421</v>
      </c>
      <c r="AC1431" s="663" t="s">
        <v>6363</v>
      </c>
      <c r="AD1431" s="663" t="s">
        <v>4941</v>
      </c>
      <c r="AE1431" s="663" t="s">
        <v>4928</v>
      </c>
      <c r="AF1431" s="663" t="s">
        <v>4946</v>
      </c>
    </row>
    <row r="1432" spans="1:32" s="608" customFormat="1" x14ac:dyDescent="0.25">
      <c r="A1432" s="624"/>
      <c r="B1432" s="617">
        <v>39061006800</v>
      </c>
      <c r="C1432" s="617" t="s">
        <v>3100</v>
      </c>
      <c r="D1432" s="617" t="s">
        <v>55</v>
      </c>
      <c r="E1432" s="617" t="s">
        <v>4850</v>
      </c>
      <c r="F1432" s="617" t="s">
        <v>24</v>
      </c>
      <c r="G1432" s="624"/>
      <c r="O1432" s="616"/>
      <c r="P1432" s="616"/>
      <c r="Q1432" s="616"/>
      <c r="AA1432" s="624"/>
      <c r="AB1432" s="663">
        <v>39061021422</v>
      </c>
      <c r="AC1432" s="663" t="s">
        <v>6364</v>
      </c>
      <c r="AD1432" s="663" t="s">
        <v>4950</v>
      </c>
      <c r="AE1432" s="663" t="s">
        <v>4942</v>
      </c>
      <c r="AF1432" s="663" t="s">
        <v>4946</v>
      </c>
    </row>
    <row r="1433" spans="1:32" s="608" customFormat="1" x14ac:dyDescent="0.25">
      <c r="A1433" s="624"/>
      <c r="B1433" s="617">
        <v>39061006900</v>
      </c>
      <c r="C1433" s="617" t="s">
        <v>3101</v>
      </c>
      <c r="D1433" s="617" t="s">
        <v>55</v>
      </c>
      <c r="E1433" s="617" t="s">
        <v>4850</v>
      </c>
      <c r="F1433" s="617" t="s">
        <v>24</v>
      </c>
      <c r="G1433" s="624"/>
      <c r="O1433" s="616"/>
      <c r="P1433" s="616"/>
      <c r="Q1433" s="616"/>
      <c r="AA1433" s="624"/>
      <c r="AB1433" s="663">
        <v>39061021501</v>
      </c>
      <c r="AC1433" s="663" t="s">
        <v>6365</v>
      </c>
      <c r="AD1433" s="663" t="s">
        <v>4948</v>
      </c>
      <c r="AE1433" s="663" t="s">
        <v>4931</v>
      </c>
      <c r="AF1433" s="663" t="s">
        <v>4946</v>
      </c>
    </row>
    <row r="1434" spans="1:32" s="608" customFormat="1" x14ac:dyDescent="0.25">
      <c r="A1434" s="624"/>
      <c r="B1434" s="617">
        <v>39061007000</v>
      </c>
      <c r="C1434" s="617" t="s">
        <v>3102</v>
      </c>
      <c r="D1434" s="617" t="s">
        <v>55</v>
      </c>
      <c r="E1434" s="617" t="s">
        <v>4850</v>
      </c>
      <c r="F1434" s="617" t="s">
        <v>26</v>
      </c>
      <c r="G1434" s="624"/>
      <c r="O1434" s="616"/>
      <c r="P1434" s="616"/>
      <c r="Q1434" s="616"/>
      <c r="AA1434" s="624"/>
      <c r="AB1434" s="663">
        <v>39061021504</v>
      </c>
      <c r="AC1434" s="663" t="s">
        <v>6366</v>
      </c>
      <c r="AD1434" s="663" t="s">
        <v>4927</v>
      </c>
      <c r="AE1434" s="663" t="s">
        <v>4928</v>
      </c>
      <c r="AF1434" s="663" t="s">
        <v>4946</v>
      </c>
    </row>
    <row r="1435" spans="1:32" s="608" customFormat="1" x14ac:dyDescent="0.25">
      <c r="A1435" s="624"/>
      <c r="B1435" s="617">
        <v>39061007100</v>
      </c>
      <c r="C1435" s="617" t="s">
        <v>3103</v>
      </c>
      <c r="D1435" s="617" t="s">
        <v>55</v>
      </c>
      <c r="E1435" s="617" t="s">
        <v>4850</v>
      </c>
      <c r="F1435" s="617" t="s">
        <v>26</v>
      </c>
      <c r="G1435" s="624"/>
      <c r="O1435" s="616"/>
      <c r="P1435" s="616"/>
      <c r="Q1435" s="616"/>
      <c r="AA1435" s="624"/>
      <c r="AB1435" s="663">
        <v>39061021505</v>
      </c>
      <c r="AC1435" s="663" t="s">
        <v>6367</v>
      </c>
      <c r="AD1435" s="663" t="s">
        <v>4950</v>
      </c>
      <c r="AE1435" s="663" t="s">
        <v>4939</v>
      </c>
      <c r="AF1435" s="663" t="s">
        <v>4946</v>
      </c>
    </row>
    <row r="1436" spans="1:32" s="608" customFormat="1" x14ac:dyDescent="0.25">
      <c r="A1436" s="624"/>
      <c r="B1436" s="617">
        <v>39061007200</v>
      </c>
      <c r="C1436" s="617" t="s">
        <v>3104</v>
      </c>
      <c r="D1436" s="617" t="s">
        <v>55</v>
      </c>
      <c r="E1436" s="617" t="s">
        <v>4850</v>
      </c>
      <c r="F1436" s="617" t="s">
        <v>26</v>
      </c>
      <c r="G1436" s="624"/>
      <c r="O1436" s="616"/>
      <c r="P1436" s="616"/>
      <c r="Q1436" s="616"/>
      <c r="AA1436" s="624"/>
      <c r="AB1436" s="663">
        <v>39061021506</v>
      </c>
      <c r="AC1436" s="663" t="s">
        <v>6368</v>
      </c>
      <c r="AD1436" s="663" t="s">
        <v>4950</v>
      </c>
      <c r="AE1436" s="663" t="s">
        <v>4931</v>
      </c>
      <c r="AF1436" s="663" t="s">
        <v>4946</v>
      </c>
    </row>
    <row r="1437" spans="1:32" s="608" customFormat="1" x14ac:dyDescent="0.25">
      <c r="A1437" s="624"/>
      <c r="B1437" s="617">
        <v>39061007300</v>
      </c>
      <c r="C1437" s="617" t="s">
        <v>3105</v>
      </c>
      <c r="D1437" s="617" t="s">
        <v>55</v>
      </c>
      <c r="E1437" s="617" t="s">
        <v>4850</v>
      </c>
      <c r="F1437" s="617" t="s">
        <v>26</v>
      </c>
      <c r="G1437" s="624"/>
      <c r="O1437" s="616"/>
      <c r="P1437" s="616"/>
      <c r="Q1437" s="616"/>
      <c r="AA1437" s="624"/>
      <c r="AB1437" s="663">
        <v>39061021508</v>
      </c>
      <c r="AC1437" s="663" t="s">
        <v>6369</v>
      </c>
      <c r="AD1437" s="663" t="s">
        <v>4950</v>
      </c>
      <c r="AE1437" s="663" t="s">
        <v>4942</v>
      </c>
      <c r="AF1437" s="663" t="s">
        <v>4946</v>
      </c>
    </row>
    <row r="1438" spans="1:32" s="608" customFormat="1" x14ac:dyDescent="0.25">
      <c r="A1438" s="624"/>
      <c r="B1438" s="617">
        <v>39061007400</v>
      </c>
      <c r="C1438" s="617" t="s">
        <v>3106</v>
      </c>
      <c r="D1438" s="617" t="s">
        <v>55</v>
      </c>
      <c r="E1438" s="617" t="s">
        <v>4850</v>
      </c>
      <c r="F1438" s="617" t="s">
        <v>26</v>
      </c>
      <c r="G1438" s="624"/>
      <c r="O1438" s="616"/>
      <c r="P1438" s="616"/>
      <c r="Q1438" s="616"/>
      <c r="AA1438" s="624"/>
      <c r="AB1438" s="663">
        <v>39061021509</v>
      </c>
      <c r="AC1438" s="663" t="s">
        <v>6370</v>
      </c>
      <c r="AD1438" s="663" t="s">
        <v>4927</v>
      </c>
      <c r="AE1438" s="663" t="s">
        <v>4931</v>
      </c>
      <c r="AF1438" s="663" t="s">
        <v>4946</v>
      </c>
    </row>
    <row r="1439" spans="1:32" s="608" customFormat="1" x14ac:dyDescent="0.25">
      <c r="A1439" s="624"/>
      <c r="B1439" s="617">
        <v>39061007500</v>
      </c>
      <c r="C1439" s="617" t="s">
        <v>3107</v>
      </c>
      <c r="D1439" s="617" t="s">
        <v>55</v>
      </c>
      <c r="E1439" s="617" t="s">
        <v>4850</v>
      </c>
      <c r="F1439" s="617" t="s">
        <v>26</v>
      </c>
      <c r="G1439" s="624"/>
      <c r="O1439" s="616"/>
      <c r="P1439" s="616"/>
      <c r="Q1439" s="616"/>
      <c r="AA1439" s="624"/>
      <c r="AB1439" s="663">
        <v>39061021571</v>
      </c>
      <c r="AC1439" s="663" t="s">
        <v>6371</v>
      </c>
      <c r="AD1439" s="663" t="s">
        <v>4948</v>
      </c>
      <c r="AE1439" s="663" t="s">
        <v>4939</v>
      </c>
      <c r="AF1439" s="663" t="s">
        <v>4946</v>
      </c>
    </row>
    <row r="1440" spans="1:32" s="608" customFormat="1" x14ac:dyDescent="0.25">
      <c r="A1440" s="624"/>
      <c r="B1440" s="617">
        <v>39061007700</v>
      </c>
      <c r="C1440" s="617" t="s">
        <v>3108</v>
      </c>
      <c r="D1440" s="617" t="s">
        <v>55</v>
      </c>
      <c r="E1440" s="617" t="s">
        <v>4850</v>
      </c>
      <c r="F1440" s="617" t="s">
        <v>24</v>
      </c>
      <c r="G1440" s="624"/>
      <c r="O1440" s="616"/>
      <c r="P1440" s="616"/>
      <c r="Q1440" s="616"/>
      <c r="AA1440" s="624"/>
      <c r="AB1440" s="663">
        <v>39061021572</v>
      </c>
      <c r="AC1440" s="663" t="s">
        <v>6372</v>
      </c>
      <c r="AD1440" s="663" t="s">
        <v>4927</v>
      </c>
      <c r="AE1440" s="663" t="s">
        <v>4942</v>
      </c>
      <c r="AF1440" s="663" t="s">
        <v>4946</v>
      </c>
    </row>
    <row r="1441" spans="1:32" s="608" customFormat="1" x14ac:dyDescent="0.25">
      <c r="A1441" s="624"/>
      <c r="B1441" s="617">
        <v>39061008000</v>
      </c>
      <c r="C1441" s="617" t="s">
        <v>3109</v>
      </c>
      <c r="D1441" s="617" t="s">
        <v>55</v>
      </c>
      <c r="E1441" s="617" t="s">
        <v>4850</v>
      </c>
      <c r="F1441" s="617" t="s">
        <v>24</v>
      </c>
      <c r="G1441" s="624"/>
      <c r="O1441" s="616"/>
      <c r="P1441" s="616"/>
      <c r="Q1441" s="616"/>
      <c r="AA1441" s="624"/>
      <c r="AB1441" s="663">
        <v>39061021602</v>
      </c>
      <c r="AC1441" s="663" t="s">
        <v>6373</v>
      </c>
      <c r="AD1441" s="663" t="s">
        <v>4927</v>
      </c>
      <c r="AE1441" s="663" t="s">
        <v>4939</v>
      </c>
      <c r="AF1441" s="663" t="s">
        <v>4946</v>
      </c>
    </row>
    <row r="1442" spans="1:32" s="608" customFormat="1" x14ac:dyDescent="0.25">
      <c r="A1442" s="624"/>
      <c r="B1442" s="617">
        <v>39061008100</v>
      </c>
      <c r="C1442" s="617" t="s">
        <v>3110</v>
      </c>
      <c r="D1442" s="617" t="s">
        <v>55</v>
      </c>
      <c r="E1442" s="617" t="s">
        <v>4850</v>
      </c>
      <c r="F1442" s="617" t="s">
        <v>24</v>
      </c>
      <c r="G1442" s="624"/>
      <c r="O1442" s="616"/>
      <c r="P1442" s="616"/>
      <c r="Q1442" s="616"/>
      <c r="AA1442" s="624"/>
      <c r="AB1442" s="663">
        <v>39061021603</v>
      </c>
      <c r="AC1442" s="663" t="s">
        <v>6374</v>
      </c>
      <c r="AD1442" s="663" t="s">
        <v>4927</v>
      </c>
      <c r="AE1442" s="663" t="s">
        <v>4931</v>
      </c>
      <c r="AF1442" s="663" t="s">
        <v>4946</v>
      </c>
    </row>
    <row r="1443" spans="1:32" s="608" customFormat="1" x14ac:dyDescent="0.25">
      <c r="A1443" s="624"/>
      <c r="B1443" s="617">
        <v>39061008201</v>
      </c>
      <c r="C1443" s="617" t="s">
        <v>3111</v>
      </c>
      <c r="D1443" s="617" t="s">
        <v>55</v>
      </c>
      <c r="E1443" s="617" t="s">
        <v>4850</v>
      </c>
      <c r="F1443" s="617" t="s">
        <v>26</v>
      </c>
      <c r="G1443" s="624"/>
      <c r="O1443" s="616"/>
      <c r="P1443" s="616"/>
      <c r="Q1443" s="616"/>
      <c r="AA1443" s="624"/>
      <c r="AB1443" s="663">
        <v>39061021604</v>
      </c>
      <c r="AC1443" s="663" t="s">
        <v>6375</v>
      </c>
      <c r="AD1443" s="663" t="s">
        <v>4927</v>
      </c>
      <c r="AE1443" s="663" t="s">
        <v>4928</v>
      </c>
      <c r="AF1443" s="663" t="s">
        <v>4946</v>
      </c>
    </row>
    <row r="1444" spans="1:32" s="608" customFormat="1" x14ac:dyDescent="0.25">
      <c r="A1444" s="624"/>
      <c r="B1444" s="617">
        <v>39061008202</v>
      </c>
      <c r="C1444" s="617" t="s">
        <v>3112</v>
      </c>
      <c r="D1444" s="617" t="s">
        <v>55</v>
      </c>
      <c r="E1444" s="617" t="s">
        <v>4850</v>
      </c>
      <c r="F1444" s="617" t="s">
        <v>26</v>
      </c>
      <c r="G1444" s="624"/>
      <c r="O1444" s="616"/>
      <c r="P1444" s="616"/>
      <c r="Q1444" s="616"/>
      <c r="AA1444" s="624"/>
      <c r="AB1444" s="663">
        <v>39061021701</v>
      </c>
      <c r="AC1444" s="663" t="s">
        <v>6376</v>
      </c>
      <c r="AD1444" s="663" t="s">
        <v>4950</v>
      </c>
      <c r="AE1444" s="663" t="s">
        <v>4934</v>
      </c>
      <c r="AF1444" s="663" t="s">
        <v>4946</v>
      </c>
    </row>
    <row r="1445" spans="1:32" s="608" customFormat="1" x14ac:dyDescent="0.25">
      <c r="A1445" s="624"/>
      <c r="B1445" s="617">
        <v>39061008300</v>
      </c>
      <c r="C1445" s="617" t="s">
        <v>3113</v>
      </c>
      <c r="D1445" s="617" t="s">
        <v>55</v>
      </c>
      <c r="E1445" s="617" t="s">
        <v>4850</v>
      </c>
      <c r="F1445" s="617" t="s">
        <v>24</v>
      </c>
      <c r="G1445" s="624"/>
      <c r="O1445" s="616"/>
      <c r="P1445" s="616"/>
      <c r="Q1445" s="616"/>
      <c r="AA1445" s="624"/>
      <c r="AB1445" s="663">
        <v>39061021702</v>
      </c>
      <c r="AC1445" s="663" t="s">
        <v>6377</v>
      </c>
      <c r="AD1445" s="663" t="s">
        <v>4927</v>
      </c>
      <c r="AE1445" s="663" t="s">
        <v>4934</v>
      </c>
      <c r="AF1445" s="663" t="s">
        <v>4946</v>
      </c>
    </row>
    <row r="1446" spans="1:32" s="608" customFormat="1" x14ac:dyDescent="0.25">
      <c r="A1446" s="624"/>
      <c r="B1446" s="617">
        <v>39061008400</v>
      </c>
      <c r="C1446" s="617" t="s">
        <v>3114</v>
      </c>
      <c r="D1446" s="617" t="s">
        <v>55</v>
      </c>
      <c r="E1446" s="617" t="s">
        <v>4850</v>
      </c>
      <c r="F1446" s="617" t="s">
        <v>24</v>
      </c>
      <c r="G1446" s="624"/>
      <c r="O1446" s="616"/>
      <c r="P1446" s="616"/>
      <c r="Q1446" s="616"/>
      <c r="AA1446" s="624"/>
      <c r="AB1446" s="663">
        <v>39061021801</v>
      </c>
      <c r="AC1446" s="663" t="s">
        <v>6378</v>
      </c>
      <c r="AD1446" s="663" t="s">
        <v>4927</v>
      </c>
      <c r="AE1446" s="663" t="s">
        <v>4939</v>
      </c>
      <c r="AF1446" s="663" t="s">
        <v>4946</v>
      </c>
    </row>
    <row r="1447" spans="1:32" s="608" customFormat="1" x14ac:dyDescent="0.25">
      <c r="A1447" s="624"/>
      <c r="B1447" s="617">
        <v>39061008501</v>
      </c>
      <c r="C1447" s="617" t="s">
        <v>3115</v>
      </c>
      <c r="D1447" s="617" t="s">
        <v>55</v>
      </c>
      <c r="E1447" s="617" t="s">
        <v>4850</v>
      </c>
      <c r="F1447" s="617" t="s">
        <v>24</v>
      </c>
      <c r="G1447" s="624"/>
      <c r="O1447" s="616"/>
      <c r="P1447" s="616"/>
      <c r="Q1447" s="616"/>
      <c r="AA1447" s="624"/>
      <c r="AB1447" s="663">
        <v>39061021802</v>
      </c>
      <c r="AC1447" s="663" t="s">
        <v>6379</v>
      </c>
      <c r="AD1447" s="663" t="s">
        <v>4927</v>
      </c>
      <c r="AE1447" s="663" t="s">
        <v>4928</v>
      </c>
      <c r="AF1447" s="663" t="s">
        <v>4946</v>
      </c>
    </row>
    <row r="1448" spans="1:32" s="608" customFormat="1" x14ac:dyDescent="0.25">
      <c r="A1448" s="624"/>
      <c r="B1448" s="617">
        <v>39061008502</v>
      </c>
      <c r="C1448" s="617" t="s">
        <v>3116</v>
      </c>
      <c r="D1448" s="617" t="s">
        <v>55</v>
      </c>
      <c r="E1448" s="617" t="s">
        <v>4850</v>
      </c>
      <c r="F1448" s="617" t="s">
        <v>24</v>
      </c>
      <c r="G1448" s="624"/>
      <c r="O1448" s="616"/>
      <c r="P1448" s="616"/>
      <c r="Q1448" s="616"/>
      <c r="AA1448" s="624"/>
      <c r="AB1448" s="663">
        <v>39061021900</v>
      </c>
      <c r="AC1448" s="663" t="s">
        <v>6380</v>
      </c>
      <c r="AD1448" s="663" t="s">
        <v>4927</v>
      </c>
      <c r="AE1448" s="663" t="s">
        <v>4942</v>
      </c>
      <c r="AF1448" s="663" t="s">
        <v>4946</v>
      </c>
    </row>
    <row r="1449" spans="1:32" s="608" customFormat="1" x14ac:dyDescent="0.25">
      <c r="A1449" s="624"/>
      <c r="B1449" s="617">
        <v>39061008601</v>
      </c>
      <c r="C1449" s="617" t="s">
        <v>3117</v>
      </c>
      <c r="D1449" s="617" t="s">
        <v>55</v>
      </c>
      <c r="E1449" s="617" t="s">
        <v>4850</v>
      </c>
      <c r="F1449" s="617" t="s">
        <v>24</v>
      </c>
      <c r="G1449" s="624"/>
      <c r="O1449" s="616"/>
      <c r="P1449" s="616"/>
      <c r="Q1449" s="616"/>
      <c r="AA1449" s="624"/>
      <c r="AB1449" s="663">
        <v>39061022000</v>
      </c>
      <c r="AC1449" s="663" t="s">
        <v>6381</v>
      </c>
      <c r="AD1449" s="663" t="s">
        <v>4948</v>
      </c>
      <c r="AE1449" s="663" t="s">
        <v>4934</v>
      </c>
      <c r="AF1449" s="663" t="s">
        <v>4946</v>
      </c>
    </row>
    <row r="1450" spans="1:32" s="608" customFormat="1" x14ac:dyDescent="0.25">
      <c r="A1450" s="624"/>
      <c r="B1450" s="617">
        <v>39061008800</v>
      </c>
      <c r="C1450" s="617" t="s">
        <v>3118</v>
      </c>
      <c r="D1450" s="617" t="s">
        <v>55</v>
      </c>
      <c r="E1450" s="617" t="s">
        <v>4850</v>
      </c>
      <c r="F1450" s="617" t="s">
        <v>24</v>
      </c>
      <c r="G1450" s="624"/>
      <c r="O1450" s="616"/>
      <c r="P1450" s="616"/>
      <c r="Q1450" s="616"/>
      <c r="AA1450" s="624"/>
      <c r="AB1450" s="663">
        <v>39061022101</v>
      </c>
      <c r="AC1450" s="663" t="s">
        <v>6382</v>
      </c>
      <c r="AD1450" s="663" t="s">
        <v>4948</v>
      </c>
      <c r="AE1450" s="663" t="s">
        <v>4934</v>
      </c>
      <c r="AF1450" s="663" t="s">
        <v>4946</v>
      </c>
    </row>
    <row r="1451" spans="1:32" s="608" customFormat="1" x14ac:dyDescent="0.25">
      <c r="A1451" s="624"/>
      <c r="B1451" s="617">
        <v>39061009200</v>
      </c>
      <c r="C1451" s="617" t="s">
        <v>3119</v>
      </c>
      <c r="D1451" s="617" t="s">
        <v>55</v>
      </c>
      <c r="E1451" s="617" t="s">
        <v>4850</v>
      </c>
      <c r="F1451" s="617" t="s">
        <v>24</v>
      </c>
      <c r="G1451" s="624"/>
      <c r="O1451" s="616"/>
      <c r="P1451" s="616"/>
      <c r="Q1451" s="616"/>
      <c r="AA1451" s="624"/>
      <c r="AB1451" s="663">
        <v>39061022102</v>
      </c>
      <c r="AC1451" s="663" t="s">
        <v>6383</v>
      </c>
      <c r="AD1451" s="663" t="s">
        <v>4950</v>
      </c>
      <c r="AE1451" s="663" t="s">
        <v>4931</v>
      </c>
      <c r="AF1451" s="663" t="s">
        <v>4946</v>
      </c>
    </row>
    <row r="1452" spans="1:32" s="608" customFormat="1" x14ac:dyDescent="0.25">
      <c r="A1452" s="624"/>
      <c r="B1452" s="617">
        <v>39061009300</v>
      </c>
      <c r="C1452" s="617" t="s">
        <v>3120</v>
      </c>
      <c r="D1452" s="617" t="s">
        <v>55</v>
      </c>
      <c r="E1452" s="617" t="s">
        <v>4850</v>
      </c>
      <c r="F1452" s="617" t="s">
        <v>24</v>
      </c>
      <c r="G1452" s="624"/>
      <c r="O1452" s="616"/>
      <c r="P1452" s="616"/>
      <c r="Q1452" s="616"/>
      <c r="AA1452" s="624"/>
      <c r="AB1452" s="663">
        <v>39061022200</v>
      </c>
      <c r="AC1452" s="663" t="s">
        <v>6384</v>
      </c>
      <c r="AD1452" s="663" t="s">
        <v>4948</v>
      </c>
      <c r="AE1452" s="663" t="s">
        <v>4928</v>
      </c>
      <c r="AF1452" s="663" t="s">
        <v>4946</v>
      </c>
    </row>
    <row r="1453" spans="1:32" s="608" customFormat="1" x14ac:dyDescent="0.25">
      <c r="A1453" s="624"/>
      <c r="B1453" s="617">
        <v>39061009400</v>
      </c>
      <c r="C1453" s="617" t="s">
        <v>3121</v>
      </c>
      <c r="D1453" s="617" t="s">
        <v>55</v>
      </c>
      <c r="E1453" s="617" t="s">
        <v>4850</v>
      </c>
      <c r="F1453" s="617" t="s">
        <v>24</v>
      </c>
      <c r="G1453" s="624"/>
      <c r="O1453" s="616"/>
      <c r="P1453" s="616"/>
      <c r="Q1453" s="616"/>
      <c r="AA1453" s="624"/>
      <c r="AB1453" s="663">
        <v>39061022301</v>
      </c>
      <c r="AC1453" s="663" t="s">
        <v>6385</v>
      </c>
      <c r="AD1453" s="663" t="s">
        <v>4950</v>
      </c>
      <c r="AE1453" s="663" t="s">
        <v>4934</v>
      </c>
      <c r="AF1453" s="663" t="s">
        <v>4946</v>
      </c>
    </row>
    <row r="1454" spans="1:32" s="608" customFormat="1" x14ac:dyDescent="0.25">
      <c r="A1454" s="624"/>
      <c r="B1454" s="617">
        <v>39061009500</v>
      </c>
      <c r="C1454" s="617" t="s">
        <v>3122</v>
      </c>
      <c r="D1454" s="617" t="s">
        <v>55</v>
      </c>
      <c r="E1454" s="617" t="s">
        <v>4850</v>
      </c>
      <c r="F1454" s="617" t="s">
        <v>24</v>
      </c>
      <c r="G1454" s="624"/>
      <c r="O1454" s="616"/>
      <c r="P1454" s="616"/>
      <c r="Q1454" s="616"/>
      <c r="AA1454" s="624"/>
      <c r="AB1454" s="663">
        <v>39061022302</v>
      </c>
      <c r="AC1454" s="663" t="s">
        <v>6386</v>
      </c>
      <c r="AD1454" s="663" t="s">
        <v>4941</v>
      </c>
      <c r="AE1454" s="663" t="s">
        <v>4934</v>
      </c>
      <c r="AF1454" s="663" t="s">
        <v>4946</v>
      </c>
    </row>
    <row r="1455" spans="1:32" s="608" customFormat="1" x14ac:dyDescent="0.25">
      <c r="A1455" s="624"/>
      <c r="B1455" s="617">
        <v>39061009600</v>
      </c>
      <c r="C1455" s="617" t="s">
        <v>3123</v>
      </c>
      <c r="D1455" s="617" t="s">
        <v>55</v>
      </c>
      <c r="E1455" s="617" t="s">
        <v>4850</v>
      </c>
      <c r="F1455" s="617" t="s">
        <v>24</v>
      </c>
      <c r="G1455" s="624"/>
      <c r="O1455" s="616"/>
      <c r="P1455" s="616"/>
      <c r="Q1455" s="616"/>
      <c r="AA1455" s="624"/>
      <c r="AB1455" s="663">
        <v>39061022400</v>
      </c>
      <c r="AC1455" s="663" t="s">
        <v>6387</v>
      </c>
      <c r="AD1455" s="663" t="s">
        <v>4941</v>
      </c>
      <c r="AE1455" s="663" t="s">
        <v>4928</v>
      </c>
      <c r="AF1455" s="663" t="s">
        <v>4946</v>
      </c>
    </row>
    <row r="1456" spans="1:32" s="608" customFormat="1" x14ac:dyDescent="0.25">
      <c r="A1456" s="624"/>
      <c r="B1456" s="617">
        <v>39061009700</v>
      </c>
      <c r="C1456" s="617" t="s">
        <v>3124</v>
      </c>
      <c r="D1456" s="617" t="s">
        <v>55</v>
      </c>
      <c r="E1456" s="617" t="s">
        <v>4850</v>
      </c>
      <c r="F1456" s="617" t="s">
        <v>24</v>
      </c>
      <c r="G1456" s="624"/>
      <c r="O1456" s="616"/>
      <c r="P1456" s="616"/>
      <c r="Q1456" s="616"/>
      <c r="AA1456" s="624"/>
      <c r="AB1456" s="663">
        <v>39061022500</v>
      </c>
      <c r="AC1456" s="663" t="s">
        <v>6388</v>
      </c>
      <c r="AD1456" s="663" t="s">
        <v>4950</v>
      </c>
      <c r="AE1456" s="663" t="s">
        <v>4934</v>
      </c>
      <c r="AF1456" s="663" t="s">
        <v>4946</v>
      </c>
    </row>
    <row r="1457" spans="1:32" s="608" customFormat="1" x14ac:dyDescent="0.25">
      <c r="A1457" s="624"/>
      <c r="B1457" s="617">
        <v>39061009800</v>
      </c>
      <c r="C1457" s="617" t="s">
        <v>3125</v>
      </c>
      <c r="D1457" s="617" t="s">
        <v>55</v>
      </c>
      <c r="E1457" s="617" t="s">
        <v>4850</v>
      </c>
      <c r="F1457" s="617" t="s">
        <v>24</v>
      </c>
      <c r="G1457" s="624"/>
      <c r="O1457" s="616"/>
      <c r="P1457" s="616"/>
      <c r="Q1457" s="616"/>
      <c r="AA1457" s="624"/>
      <c r="AB1457" s="663">
        <v>39061022601</v>
      </c>
      <c r="AC1457" s="663" t="s">
        <v>6389</v>
      </c>
      <c r="AD1457" s="663" t="s">
        <v>4938</v>
      </c>
      <c r="AE1457" s="663" t="s">
        <v>4942</v>
      </c>
      <c r="AF1457" s="663" t="s">
        <v>4946</v>
      </c>
    </row>
    <row r="1458" spans="1:32" s="608" customFormat="1" x14ac:dyDescent="0.25">
      <c r="A1458" s="624"/>
      <c r="B1458" s="617">
        <v>39061009901</v>
      </c>
      <c r="C1458" s="617" t="s">
        <v>3126</v>
      </c>
      <c r="D1458" s="617" t="s">
        <v>55</v>
      </c>
      <c r="E1458" s="617" t="s">
        <v>4850</v>
      </c>
      <c r="F1458" s="617" t="s">
        <v>26</v>
      </c>
      <c r="G1458" s="624"/>
      <c r="O1458" s="616"/>
      <c r="P1458" s="616"/>
      <c r="Q1458" s="616"/>
      <c r="AA1458" s="624"/>
      <c r="AB1458" s="663">
        <v>39061022602</v>
      </c>
      <c r="AC1458" s="663" t="s">
        <v>6390</v>
      </c>
      <c r="AD1458" s="663" t="s">
        <v>4938</v>
      </c>
      <c r="AE1458" s="663" t="s">
        <v>4931</v>
      </c>
      <c r="AF1458" s="663" t="s">
        <v>4946</v>
      </c>
    </row>
    <row r="1459" spans="1:32" s="608" customFormat="1" x14ac:dyDescent="0.25">
      <c r="A1459" s="624"/>
      <c r="B1459" s="617">
        <v>39061009902</v>
      </c>
      <c r="C1459" s="617" t="s">
        <v>3127</v>
      </c>
      <c r="D1459" s="617" t="s">
        <v>55</v>
      </c>
      <c r="E1459" s="617" t="s">
        <v>4850</v>
      </c>
      <c r="F1459" s="617" t="s">
        <v>24</v>
      </c>
      <c r="G1459" s="624"/>
      <c r="O1459" s="616"/>
      <c r="P1459" s="616"/>
      <c r="Q1459" s="616"/>
      <c r="AA1459" s="624"/>
      <c r="AB1459" s="663">
        <v>39061022700</v>
      </c>
      <c r="AC1459" s="663" t="s">
        <v>6391</v>
      </c>
      <c r="AD1459" s="663" t="s">
        <v>4927</v>
      </c>
      <c r="AE1459" s="663" t="s">
        <v>4942</v>
      </c>
      <c r="AF1459" s="663" t="s">
        <v>4946</v>
      </c>
    </row>
    <row r="1460" spans="1:32" s="608" customFormat="1" x14ac:dyDescent="0.25">
      <c r="A1460" s="624"/>
      <c r="B1460" s="617">
        <v>39061010002</v>
      </c>
      <c r="C1460" s="617" t="s">
        <v>3128</v>
      </c>
      <c r="D1460" s="617" t="s">
        <v>55</v>
      </c>
      <c r="E1460" s="617" t="s">
        <v>4850</v>
      </c>
      <c r="F1460" s="617" t="s">
        <v>24</v>
      </c>
      <c r="G1460" s="624"/>
      <c r="O1460" s="616"/>
      <c r="P1460" s="616"/>
      <c r="Q1460" s="616"/>
      <c r="AA1460" s="624"/>
      <c r="AB1460" s="663">
        <v>39061023001</v>
      </c>
      <c r="AC1460" s="663" t="s">
        <v>6392</v>
      </c>
      <c r="AD1460" s="663" t="s">
        <v>4941</v>
      </c>
      <c r="AE1460" s="663" t="s">
        <v>4939</v>
      </c>
      <c r="AF1460" s="663" t="s">
        <v>4946</v>
      </c>
    </row>
    <row r="1461" spans="1:32" s="608" customFormat="1" x14ac:dyDescent="0.25">
      <c r="A1461" s="624"/>
      <c r="B1461" s="617">
        <v>39061010003</v>
      </c>
      <c r="C1461" s="617" t="s">
        <v>3129</v>
      </c>
      <c r="D1461" s="617" t="s">
        <v>55</v>
      </c>
      <c r="E1461" s="617" t="s">
        <v>4850</v>
      </c>
      <c r="F1461" s="617" t="s">
        <v>24</v>
      </c>
      <c r="G1461" s="624"/>
      <c r="O1461" s="616"/>
      <c r="P1461" s="616"/>
      <c r="Q1461" s="616"/>
      <c r="AA1461" s="624"/>
      <c r="AB1461" s="663">
        <v>39061023002</v>
      </c>
      <c r="AC1461" s="663" t="s">
        <v>6393</v>
      </c>
      <c r="AD1461" s="663" t="s">
        <v>4948</v>
      </c>
      <c r="AE1461" s="663" t="s">
        <v>4942</v>
      </c>
      <c r="AF1461" s="663" t="s">
        <v>4946</v>
      </c>
    </row>
    <row r="1462" spans="1:32" s="608" customFormat="1" x14ac:dyDescent="0.25">
      <c r="A1462" s="624"/>
      <c r="B1462" s="617">
        <v>39061010004</v>
      </c>
      <c r="C1462" s="617" t="s">
        <v>3130</v>
      </c>
      <c r="D1462" s="617" t="s">
        <v>55</v>
      </c>
      <c r="E1462" s="617" t="s">
        <v>4850</v>
      </c>
      <c r="F1462" s="617" t="s">
        <v>24</v>
      </c>
      <c r="G1462" s="624"/>
      <c r="O1462" s="616"/>
      <c r="P1462" s="616"/>
      <c r="Q1462" s="616"/>
      <c r="AA1462" s="624"/>
      <c r="AB1462" s="663">
        <v>39061023100</v>
      </c>
      <c r="AC1462" s="663" t="s">
        <v>6394</v>
      </c>
      <c r="AD1462" s="663" t="s">
        <v>4938</v>
      </c>
      <c r="AE1462" s="663" t="s">
        <v>4931</v>
      </c>
      <c r="AF1462" s="663" t="s">
        <v>4946</v>
      </c>
    </row>
    <row r="1463" spans="1:32" s="608" customFormat="1" x14ac:dyDescent="0.25">
      <c r="A1463" s="624"/>
      <c r="B1463" s="617">
        <v>39061010005</v>
      </c>
      <c r="C1463" s="617" t="s">
        <v>3131</v>
      </c>
      <c r="D1463" s="617" t="s">
        <v>55</v>
      </c>
      <c r="E1463" s="617" t="s">
        <v>4850</v>
      </c>
      <c r="F1463" s="617" t="s">
        <v>26</v>
      </c>
      <c r="G1463" s="624"/>
      <c r="O1463" s="616"/>
      <c r="P1463" s="616"/>
      <c r="Q1463" s="616"/>
      <c r="AA1463" s="624"/>
      <c r="AB1463" s="663">
        <v>39061023201</v>
      </c>
      <c r="AC1463" s="663" t="s">
        <v>6395</v>
      </c>
      <c r="AD1463" s="663" t="s">
        <v>4950</v>
      </c>
      <c r="AE1463" s="663" t="s">
        <v>4942</v>
      </c>
      <c r="AF1463" s="663" t="s">
        <v>4946</v>
      </c>
    </row>
    <row r="1464" spans="1:32" s="608" customFormat="1" x14ac:dyDescent="0.25">
      <c r="A1464" s="624"/>
      <c r="B1464" s="617">
        <v>39061010100</v>
      </c>
      <c r="C1464" s="617" t="s">
        <v>3132</v>
      </c>
      <c r="D1464" s="617" t="s">
        <v>55</v>
      </c>
      <c r="E1464" s="617" t="s">
        <v>4850</v>
      </c>
      <c r="F1464" s="617" t="s">
        <v>26</v>
      </c>
      <c r="G1464" s="624"/>
      <c r="O1464" s="616"/>
      <c r="P1464" s="616"/>
      <c r="Q1464" s="616"/>
      <c r="AA1464" s="624"/>
      <c r="AB1464" s="663">
        <v>39061023210</v>
      </c>
      <c r="AC1464" s="663" t="s">
        <v>6396</v>
      </c>
      <c r="AD1464" s="663" t="s">
        <v>4948</v>
      </c>
      <c r="AE1464" s="663" t="s">
        <v>4931</v>
      </c>
      <c r="AF1464" s="663" t="s">
        <v>4946</v>
      </c>
    </row>
    <row r="1465" spans="1:32" s="608" customFormat="1" x14ac:dyDescent="0.25">
      <c r="A1465" s="624"/>
      <c r="B1465" s="617">
        <v>39061010201</v>
      </c>
      <c r="C1465" s="617" t="s">
        <v>3133</v>
      </c>
      <c r="D1465" s="617" t="s">
        <v>55</v>
      </c>
      <c r="E1465" s="617" t="s">
        <v>4850</v>
      </c>
      <c r="F1465" s="617" t="s">
        <v>24</v>
      </c>
      <c r="G1465" s="624"/>
      <c r="O1465" s="616"/>
      <c r="P1465" s="616"/>
      <c r="Q1465" s="616"/>
      <c r="AA1465" s="624"/>
      <c r="AB1465" s="663">
        <v>39061023222</v>
      </c>
      <c r="AC1465" s="663" t="s">
        <v>6397</v>
      </c>
      <c r="AD1465" s="663" t="s">
        <v>4948</v>
      </c>
      <c r="AE1465" s="663" t="s">
        <v>4942</v>
      </c>
      <c r="AF1465" s="663" t="s">
        <v>4946</v>
      </c>
    </row>
    <row r="1466" spans="1:32" s="608" customFormat="1" x14ac:dyDescent="0.25">
      <c r="A1466" s="624"/>
      <c r="B1466" s="617">
        <v>39061010202</v>
      </c>
      <c r="C1466" s="617" t="s">
        <v>3134</v>
      </c>
      <c r="D1466" s="617" t="s">
        <v>55</v>
      </c>
      <c r="E1466" s="617" t="s">
        <v>4850</v>
      </c>
      <c r="F1466" s="617" t="s">
        <v>26</v>
      </c>
      <c r="G1466" s="624"/>
      <c r="O1466" s="616"/>
      <c r="P1466" s="616"/>
      <c r="Q1466" s="616"/>
      <c r="AA1466" s="624"/>
      <c r="AB1466" s="663">
        <v>39061023300</v>
      </c>
      <c r="AC1466" s="663" t="s">
        <v>6398</v>
      </c>
      <c r="AD1466" s="663" t="s">
        <v>4938</v>
      </c>
      <c r="AE1466" s="663" t="s">
        <v>4931</v>
      </c>
      <c r="AF1466" s="663" t="s">
        <v>4946</v>
      </c>
    </row>
    <row r="1467" spans="1:32" s="608" customFormat="1" x14ac:dyDescent="0.25">
      <c r="A1467" s="624"/>
      <c r="B1467" s="617">
        <v>39061010300</v>
      </c>
      <c r="C1467" s="617" t="s">
        <v>3135</v>
      </c>
      <c r="D1467" s="617" t="s">
        <v>55</v>
      </c>
      <c r="E1467" s="617" t="s">
        <v>4850</v>
      </c>
      <c r="F1467" s="617" t="s">
        <v>24</v>
      </c>
      <c r="G1467" s="624"/>
      <c r="O1467" s="616"/>
      <c r="P1467" s="616"/>
      <c r="Q1467" s="616"/>
      <c r="AA1467" s="624"/>
      <c r="AB1467" s="663">
        <v>39061023400</v>
      </c>
      <c r="AC1467" s="663" t="s">
        <v>6399</v>
      </c>
      <c r="AD1467" s="663" t="s">
        <v>4927</v>
      </c>
      <c r="AE1467" s="663" t="s">
        <v>4942</v>
      </c>
      <c r="AF1467" s="663" t="s">
        <v>4946</v>
      </c>
    </row>
    <row r="1468" spans="1:32" s="608" customFormat="1" x14ac:dyDescent="0.25">
      <c r="A1468" s="624"/>
      <c r="B1468" s="617">
        <v>39061010400</v>
      </c>
      <c r="C1468" s="617" t="s">
        <v>3136</v>
      </c>
      <c r="D1468" s="617" t="s">
        <v>55</v>
      </c>
      <c r="E1468" s="617" t="s">
        <v>4850</v>
      </c>
      <c r="F1468" s="617" t="s">
        <v>24</v>
      </c>
      <c r="G1468" s="624"/>
      <c r="O1468" s="616"/>
      <c r="P1468" s="616"/>
      <c r="Q1468" s="616"/>
      <c r="AA1468" s="624"/>
      <c r="AB1468" s="663">
        <v>39061023501</v>
      </c>
      <c r="AC1468" s="663" t="s">
        <v>6400</v>
      </c>
      <c r="AD1468" s="663" t="s">
        <v>4938</v>
      </c>
      <c r="AE1468" s="663" t="s">
        <v>4934</v>
      </c>
      <c r="AF1468" s="663" t="s">
        <v>4946</v>
      </c>
    </row>
    <row r="1469" spans="1:32" s="608" customFormat="1" x14ac:dyDescent="0.25">
      <c r="A1469" s="624"/>
      <c r="B1469" s="617">
        <v>39061010500</v>
      </c>
      <c r="C1469" s="617" t="s">
        <v>3137</v>
      </c>
      <c r="D1469" s="617" t="s">
        <v>55</v>
      </c>
      <c r="E1469" s="617" t="s">
        <v>4850</v>
      </c>
      <c r="F1469" s="617" t="s">
        <v>26</v>
      </c>
      <c r="G1469" s="624"/>
      <c r="O1469" s="616"/>
      <c r="P1469" s="616"/>
      <c r="Q1469" s="616"/>
      <c r="AA1469" s="624"/>
      <c r="AB1469" s="663">
        <v>39061023521</v>
      </c>
      <c r="AC1469" s="663" t="s">
        <v>6401</v>
      </c>
      <c r="AD1469" s="663" t="s">
        <v>4938</v>
      </c>
      <c r="AE1469" s="663" t="s">
        <v>4942</v>
      </c>
      <c r="AF1469" s="663" t="s">
        <v>4946</v>
      </c>
    </row>
    <row r="1470" spans="1:32" s="608" customFormat="1" x14ac:dyDescent="0.25">
      <c r="A1470" s="624"/>
      <c r="B1470" s="617">
        <v>39061010600</v>
      </c>
      <c r="C1470" s="617" t="s">
        <v>3138</v>
      </c>
      <c r="D1470" s="617" t="s">
        <v>55</v>
      </c>
      <c r="E1470" s="617" t="s">
        <v>4850</v>
      </c>
      <c r="F1470" s="617" t="s">
        <v>26</v>
      </c>
      <c r="G1470" s="624"/>
      <c r="O1470" s="616"/>
      <c r="P1470" s="616"/>
      <c r="Q1470" s="616"/>
      <c r="AA1470" s="624"/>
      <c r="AB1470" s="663">
        <v>39061023522</v>
      </c>
      <c r="AC1470" s="663" t="s">
        <v>6402</v>
      </c>
      <c r="AD1470" s="663" t="s">
        <v>4938</v>
      </c>
      <c r="AE1470" s="663" t="s">
        <v>4939</v>
      </c>
      <c r="AF1470" s="663" t="s">
        <v>4946</v>
      </c>
    </row>
    <row r="1471" spans="1:32" s="608" customFormat="1" x14ac:dyDescent="0.25">
      <c r="A1471" s="624"/>
      <c r="B1471" s="617">
        <v>39061010700</v>
      </c>
      <c r="C1471" s="617" t="s">
        <v>3139</v>
      </c>
      <c r="D1471" s="617" t="s">
        <v>55</v>
      </c>
      <c r="E1471" s="617" t="s">
        <v>4850</v>
      </c>
      <c r="F1471" s="617" t="s">
        <v>26</v>
      </c>
      <c r="G1471" s="624"/>
      <c r="O1471" s="616"/>
      <c r="P1471" s="616"/>
      <c r="Q1471" s="616"/>
      <c r="AA1471" s="624"/>
      <c r="AB1471" s="663">
        <v>39061023600</v>
      </c>
      <c r="AC1471" s="663" t="s">
        <v>6403</v>
      </c>
      <c r="AD1471" s="663" t="s">
        <v>4941</v>
      </c>
      <c r="AE1471" s="663" t="s">
        <v>4939</v>
      </c>
      <c r="AF1471" s="663" t="s">
        <v>4946</v>
      </c>
    </row>
    <row r="1472" spans="1:32" s="608" customFormat="1" x14ac:dyDescent="0.25">
      <c r="A1472" s="624"/>
      <c r="B1472" s="617">
        <v>39061010900</v>
      </c>
      <c r="C1472" s="617" t="s">
        <v>3140</v>
      </c>
      <c r="D1472" s="617" t="s">
        <v>55</v>
      </c>
      <c r="E1472" s="617" t="s">
        <v>4850</v>
      </c>
      <c r="F1472" s="617" t="s">
        <v>24</v>
      </c>
      <c r="G1472" s="624"/>
      <c r="O1472" s="616"/>
      <c r="P1472" s="616"/>
      <c r="Q1472" s="616"/>
      <c r="AA1472" s="624"/>
      <c r="AB1472" s="663">
        <v>39061023701</v>
      </c>
      <c r="AC1472" s="663" t="s">
        <v>6404</v>
      </c>
      <c r="AD1472" s="663" t="s">
        <v>4941</v>
      </c>
      <c r="AE1472" s="663" t="s">
        <v>4942</v>
      </c>
      <c r="AF1472" s="663" t="s">
        <v>4946</v>
      </c>
    </row>
    <row r="1473" spans="1:32" s="608" customFormat="1" x14ac:dyDescent="0.25">
      <c r="A1473" s="624"/>
      <c r="B1473" s="617">
        <v>39061011000</v>
      </c>
      <c r="C1473" s="617" t="s">
        <v>3141</v>
      </c>
      <c r="D1473" s="617" t="s">
        <v>55</v>
      </c>
      <c r="E1473" s="617" t="s">
        <v>4850</v>
      </c>
      <c r="F1473" s="617" t="s">
        <v>24</v>
      </c>
      <c r="G1473" s="624"/>
      <c r="O1473" s="616"/>
      <c r="P1473" s="616"/>
      <c r="Q1473" s="616"/>
      <c r="AA1473" s="624"/>
      <c r="AB1473" s="663">
        <v>39061023702</v>
      </c>
      <c r="AC1473" s="663" t="s">
        <v>6405</v>
      </c>
      <c r="AD1473" s="663" t="s">
        <v>4941</v>
      </c>
      <c r="AE1473" s="663" t="s">
        <v>4931</v>
      </c>
      <c r="AF1473" s="663" t="s">
        <v>4946</v>
      </c>
    </row>
    <row r="1474" spans="1:32" s="608" customFormat="1" x14ac:dyDescent="0.25">
      <c r="A1474" s="624"/>
      <c r="B1474" s="617">
        <v>39061011100</v>
      </c>
      <c r="C1474" s="617" t="s">
        <v>3142</v>
      </c>
      <c r="D1474" s="617" t="s">
        <v>55</v>
      </c>
      <c r="E1474" s="617" t="s">
        <v>4850</v>
      </c>
      <c r="F1474" s="617" t="s">
        <v>26</v>
      </c>
      <c r="G1474" s="624"/>
      <c r="O1474" s="616"/>
      <c r="P1474" s="616"/>
      <c r="Q1474" s="616"/>
      <c r="AA1474" s="624"/>
      <c r="AB1474" s="663">
        <v>39061023800</v>
      </c>
      <c r="AC1474" s="663" t="s">
        <v>6406</v>
      </c>
      <c r="AD1474" s="663" t="s">
        <v>4950</v>
      </c>
      <c r="AE1474" s="663" t="s">
        <v>4928</v>
      </c>
      <c r="AF1474" s="663" t="s">
        <v>4946</v>
      </c>
    </row>
    <row r="1475" spans="1:32" s="608" customFormat="1" x14ac:dyDescent="0.25">
      <c r="A1475" s="624"/>
      <c r="B1475" s="617">
        <v>39061020401</v>
      </c>
      <c r="C1475" s="617" t="s">
        <v>3143</v>
      </c>
      <c r="D1475" s="617" t="s">
        <v>55</v>
      </c>
      <c r="E1475" s="617" t="s">
        <v>4850</v>
      </c>
      <c r="F1475" s="617" t="s">
        <v>26</v>
      </c>
      <c r="G1475" s="624"/>
      <c r="O1475" s="616"/>
      <c r="P1475" s="616"/>
      <c r="Q1475" s="616"/>
      <c r="AA1475" s="624"/>
      <c r="AB1475" s="663">
        <v>39061023901</v>
      </c>
      <c r="AC1475" s="663" t="s">
        <v>6407</v>
      </c>
      <c r="AD1475" s="663" t="s">
        <v>4938</v>
      </c>
      <c r="AE1475" s="663" t="s">
        <v>4942</v>
      </c>
      <c r="AF1475" s="663" t="s">
        <v>4946</v>
      </c>
    </row>
    <row r="1476" spans="1:32" s="608" customFormat="1" x14ac:dyDescent="0.25">
      <c r="A1476" s="624"/>
      <c r="B1476" s="617">
        <v>39061020403</v>
      </c>
      <c r="C1476" s="617" t="s">
        <v>3144</v>
      </c>
      <c r="D1476" s="617" t="s">
        <v>55</v>
      </c>
      <c r="E1476" s="617" t="s">
        <v>4850</v>
      </c>
      <c r="F1476" s="617" t="s">
        <v>26</v>
      </c>
      <c r="G1476" s="624"/>
      <c r="O1476" s="616"/>
      <c r="P1476" s="616"/>
      <c r="Q1476" s="616"/>
      <c r="AA1476" s="624"/>
      <c r="AB1476" s="663">
        <v>39061023902</v>
      </c>
      <c r="AC1476" s="663" t="s">
        <v>6408</v>
      </c>
      <c r="AD1476" s="663" t="s">
        <v>4938</v>
      </c>
      <c r="AE1476" s="663" t="s">
        <v>4942</v>
      </c>
      <c r="AF1476" s="663" t="s">
        <v>4946</v>
      </c>
    </row>
    <row r="1477" spans="1:32" s="608" customFormat="1" x14ac:dyDescent="0.25">
      <c r="A1477" s="624"/>
      <c r="B1477" s="617">
        <v>39061020404</v>
      </c>
      <c r="C1477" s="617" t="s">
        <v>3145</v>
      </c>
      <c r="D1477" s="617" t="s">
        <v>55</v>
      </c>
      <c r="E1477" s="617" t="s">
        <v>4850</v>
      </c>
      <c r="F1477" s="617" t="s">
        <v>26</v>
      </c>
      <c r="G1477" s="624"/>
      <c r="O1477" s="616"/>
      <c r="P1477" s="616"/>
      <c r="Q1477" s="616"/>
      <c r="AA1477" s="624"/>
      <c r="AB1477" s="663">
        <v>39061024001</v>
      </c>
      <c r="AC1477" s="663" t="s">
        <v>6409</v>
      </c>
      <c r="AD1477" s="663" t="s">
        <v>4938</v>
      </c>
      <c r="AE1477" s="663" t="s">
        <v>4934</v>
      </c>
      <c r="AF1477" s="663" t="s">
        <v>4946</v>
      </c>
    </row>
    <row r="1478" spans="1:32" s="608" customFormat="1" x14ac:dyDescent="0.25">
      <c r="A1478" s="624"/>
      <c r="B1478" s="617">
        <v>39061020501</v>
      </c>
      <c r="C1478" s="617" t="s">
        <v>3146</v>
      </c>
      <c r="D1478" s="617" t="s">
        <v>55</v>
      </c>
      <c r="E1478" s="617" t="s">
        <v>4850</v>
      </c>
      <c r="F1478" s="617" t="s">
        <v>26</v>
      </c>
      <c r="G1478" s="624"/>
      <c r="O1478" s="616"/>
      <c r="P1478" s="616"/>
      <c r="Q1478" s="616"/>
      <c r="AA1478" s="624"/>
      <c r="AB1478" s="663">
        <v>39061024002</v>
      </c>
      <c r="AC1478" s="663" t="s">
        <v>6410</v>
      </c>
      <c r="AD1478" s="663" t="s">
        <v>4938</v>
      </c>
      <c r="AE1478" s="663" t="s">
        <v>4939</v>
      </c>
      <c r="AF1478" s="663" t="s">
        <v>4946</v>
      </c>
    </row>
    <row r="1479" spans="1:32" s="608" customFormat="1" x14ac:dyDescent="0.25">
      <c r="A1479" s="624"/>
      <c r="B1479" s="617">
        <v>39061020502</v>
      </c>
      <c r="C1479" s="617" t="s">
        <v>3147</v>
      </c>
      <c r="D1479" s="617" t="s">
        <v>55</v>
      </c>
      <c r="E1479" s="617" t="s">
        <v>4850</v>
      </c>
      <c r="F1479" s="617" t="s">
        <v>26</v>
      </c>
      <c r="G1479" s="624"/>
      <c r="O1479" s="616"/>
      <c r="P1479" s="616"/>
      <c r="Q1479" s="616"/>
      <c r="AA1479" s="624"/>
      <c r="AB1479" s="663">
        <v>39061024100</v>
      </c>
      <c r="AC1479" s="663" t="s">
        <v>6411</v>
      </c>
      <c r="AD1479" s="663" t="s">
        <v>4938</v>
      </c>
      <c r="AE1479" s="663" t="s">
        <v>4939</v>
      </c>
      <c r="AF1479" s="663" t="s">
        <v>4946</v>
      </c>
    </row>
    <row r="1480" spans="1:32" s="608" customFormat="1" x14ac:dyDescent="0.25">
      <c r="A1480" s="624"/>
      <c r="B1480" s="617">
        <v>39061020504</v>
      </c>
      <c r="C1480" s="617" t="s">
        <v>3148</v>
      </c>
      <c r="D1480" s="617" t="s">
        <v>55</v>
      </c>
      <c r="E1480" s="617" t="s">
        <v>4850</v>
      </c>
      <c r="F1480" s="617" t="s">
        <v>26</v>
      </c>
      <c r="G1480" s="624"/>
      <c r="O1480" s="616"/>
      <c r="P1480" s="616"/>
      <c r="Q1480" s="616"/>
      <c r="AA1480" s="624"/>
      <c r="AB1480" s="663">
        <v>39061024200</v>
      </c>
      <c r="AC1480" s="663" t="s">
        <v>6412</v>
      </c>
      <c r="AD1480" s="663" t="s">
        <v>4938</v>
      </c>
      <c r="AE1480" s="663" t="s">
        <v>4934</v>
      </c>
      <c r="AF1480" s="663" t="s">
        <v>4946</v>
      </c>
    </row>
    <row r="1481" spans="1:32" s="608" customFormat="1" x14ac:dyDescent="0.25">
      <c r="A1481" s="624"/>
      <c r="B1481" s="617">
        <v>39061020505</v>
      </c>
      <c r="C1481" s="617" t="s">
        <v>3149</v>
      </c>
      <c r="D1481" s="617" t="s">
        <v>55</v>
      </c>
      <c r="E1481" s="617" t="s">
        <v>4850</v>
      </c>
      <c r="F1481" s="617" t="s">
        <v>26</v>
      </c>
      <c r="G1481" s="624"/>
      <c r="O1481" s="616"/>
      <c r="P1481" s="616"/>
      <c r="Q1481" s="616"/>
      <c r="AA1481" s="624"/>
      <c r="AB1481" s="663">
        <v>39061024301</v>
      </c>
      <c r="AC1481" s="663" t="s">
        <v>6413</v>
      </c>
      <c r="AD1481" s="663" t="s">
        <v>4938</v>
      </c>
      <c r="AE1481" s="663" t="s">
        <v>4942</v>
      </c>
      <c r="AF1481" s="663" t="s">
        <v>4946</v>
      </c>
    </row>
    <row r="1482" spans="1:32" s="608" customFormat="1" x14ac:dyDescent="0.25">
      <c r="A1482" s="624"/>
      <c r="B1482" s="617">
        <v>39061020601</v>
      </c>
      <c r="C1482" s="617" t="s">
        <v>3150</v>
      </c>
      <c r="D1482" s="617" t="s">
        <v>55</v>
      </c>
      <c r="E1482" s="617" t="s">
        <v>4850</v>
      </c>
      <c r="F1482" s="617" t="s">
        <v>26</v>
      </c>
      <c r="G1482" s="624"/>
      <c r="O1482" s="616"/>
      <c r="P1482" s="616"/>
      <c r="Q1482" s="616"/>
      <c r="AA1482" s="624"/>
      <c r="AB1482" s="663">
        <v>39061024303</v>
      </c>
      <c r="AC1482" s="663" t="s">
        <v>6414</v>
      </c>
      <c r="AD1482" s="663" t="s">
        <v>4941</v>
      </c>
      <c r="AE1482" s="663" t="s">
        <v>4934</v>
      </c>
      <c r="AF1482" s="663" t="s">
        <v>4946</v>
      </c>
    </row>
    <row r="1483" spans="1:32" s="608" customFormat="1" x14ac:dyDescent="0.25">
      <c r="A1483" s="624"/>
      <c r="B1483" s="617">
        <v>39061020603</v>
      </c>
      <c r="C1483" s="617" t="s">
        <v>3151</v>
      </c>
      <c r="D1483" s="617" t="s">
        <v>55</v>
      </c>
      <c r="E1483" s="617" t="s">
        <v>4850</v>
      </c>
      <c r="F1483" s="617" t="s">
        <v>26</v>
      </c>
      <c r="G1483" s="624"/>
      <c r="O1483" s="616"/>
      <c r="P1483" s="616"/>
      <c r="Q1483" s="616"/>
      <c r="AA1483" s="624"/>
      <c r="AB1483" s="663">
        <v>39061024321</v>
      </c>
      <c r="AC1483" s="663" t="s">
        <v>6415</v>
      </c>
      <c r="AD1483" s="663" t="s">
        <v>4938</v>
      </c>
      <c r="AE1483" s="663" t="s">
        <v>4942</v>
      </c>
      <c r="AF1483" s="663" t="s">
        <v>4946</v>
      </c>
    </row>
    <row r="1484" spans="1:32" s="608" customFormat="1" x14ac:dyDescent="0.25">
      <c r="A1484" s="624"/>
      <c r="B1484" s="617">
        <v>39061020604</v>
      </c>
      <c r="C1484" s="617" t="s">
        <v>3152</v>
      </c>
      <c r="D1484" s="617" t="s">
        <v>55</v>
      </c>
      <c r="E1484" s="617" t="s">
        <v>4850</v>
      </c>
      <c r="F1484" s="617" t="s">
        <v>26</v>
      </c>
      <c r="G1484" s="624"/>
      <c r="O1484" s="616"/>
      <c r="P1484" s="616"/>
      <c r="Q1484" s="616"/>
      <c r="AA1484" s="624"/>
      <c r="AB1484" s="663">
        <v>39061024322</v>
      </c>
      <c r="AC1484" s="663" t="s">
        <v>6416</v>
      </c>
      <c r="AD1484" s="663" t="s">
        <v>4938</v>
      </c>
      <c r="AE1484" s="663" t="s">
        <v>4931</v>
      </c>
      <c r="AF1484" s="663" t="s">
        <v>4946</v>
      </c>
    </row>
    <row r="1485" spans="1:32" s="608" customFormat="1" x14ac:dyDescent="0.25">
      <c r="A1485" s="624"/>
      <c r="B1485" s="617">
        <v>39061020701</v>
      </c>
      <c r="C1485" s="617" t="s">
        <v>3153</v>
      </c>
      <c r="D1485" s="617" t="s">
        <v>55</v>
      </c>
      <c r="E1485" s="617" t="s">
        <v>4850</v>
      </c>
      <c r="F1485" s="617" t="s">
        <v>26</v>
      </c>
      <c r="G1485" s="624"/>
      <c r="O1485" s="616"/>
      <c r="P1485" s="616"/>
      <c r="Q1485" s="616"/>
      <c r="AA1485" s="624"/>
      <c r="AB1485" s="663">
        <v>39061024400</v>
      </c>
      <c r="AC1485" s="663" t="s">
        <v>6417</v>
      </c>
      <c r="AD1485" s="663" t="s">
        <v>4938</v>
      </c>
      <c r="AE1485" s="663" t="s">
        <v>4934</v>
      </c>
      <c r="AF1485" s="663" t="s">
        <v>4946</v>
      </c>
    </row>
    <row r="1486" spans="1:32" s="608" customFormat="1" x14ac:dyDescent="0.25">
      <c r="A1486" s="624"/>
      <c r="B1486" s="617">
        <v>39061020705</v>
      </c>
      <c r="C1486" s="617" t="s">
        <v>3154</v>
      </c>
      <c r="D1486" s="617" t="s">
        <v>55</v>
      </c>
      <c r="E1486" s="617" t="s">
        <v>4850</v>
      </c>
      <c r="F1486" s="617" t="s">
        <v>26</v>
      </c>
      <c r="G1486" s="624"/>
      <c r="O1486" s="616"/>
      <c r="P1486" s="616"/>
      <c r="Q1486" s="616"/>
      <c r="AA1486" s="624"/>
      <c r="AB1486" s="663">
        <v>39061024700</v>
      </c>
      <c r="AC1486" s="663" t="s">
        <v>6418</v>
      </c>
      <c r="AD1486" s="663" t="s">
        <v>4941</v>
      </c>
      <c r="AE1486" s="663" t="s">
        <v>4942</v>
      </c>
      <c r="AF1486" s="663" t="s">
        <v>4946</v>
      </c>
    </row>
    <row r="1487" spans="1:32" s="608" customFormat="1" x14ac:dyDescent="0.25">
      <c r="A1487" s="624"/>
      <c r="B1487" s="617">
        <v>39061020707</v>
      </c>
      <c r="C1487" s="617" t="s">
        <v>3155</v>
      </c>
      <c r="D1487" s="617" t="s">
        <v>55</v>
      </c>
      <c r="E1487" s="617" t="s">
        <v>4850</v>
      </c>
      <c r="F1487" s="617" t="s">
        <v>26</v>
      </c>
      <c r="G1487" s="624"/>
      <c r="O1487" s="616"/>
      <c r="P1487" s="616"/>
      <c r="Q1487" s="616"/>
      <c r="AA1487" s="624"/>
      <c r="AB1487" s="663">
        <v>39061024800</v>
      </c>
      <c r="AC1487" s="663" t="s">
        <v>6419</v>
      </c>
      <c r="AD1487" s="663" t="s">
        <v>4938</v>
      </c>
      <c r="AE1487" s="663" t="s">
        <v>4942</v>
      </c>
      <c r="AF1487" s="663" t="s">
        <v>4946</v>
      </c>
    </row>
    <row r="1488" spans="1:32" s="608" customFormat="1" x14ac:dyDescent="0.25">
      <c r="A1488" s="624"/>
      <c r="B1488" s="617">
        <v>39061020741</v>
      </c>
      <c r="C1488" s="617" t="s">
        <v>3156</v>
      </c>
      <c r="D1488" s="617" t="s">
        <v>55</v>
      </c>
      <c r="E1488" s="617" t="s">
        <v>4850</v>
      </c>
      <c r="F1488" s="617" t="s">
        <v>26</v>
      </c>
      <c r="G1488" s="624"/>
      <c r="O1488" s="616"/>
      <c r="P1488" s="616"/>
      <c r="Q1488" s="616"/>
      <c r="AA1488" s="624"/>
      <c r="AB1488" s="663">
        <v>39061024901</v>
      </c>
      <c r="AC1488" s="663" t="s">
        <v>6420</v>
      </c>
      <c r="AD1488" s="663" t="s">
        <v>4950</v>
      </c>
      <c r="AE1488" s="663" t="s">
        <v>4931</v>
      </c>
      <c r="AF1488" s="663" t="s">
        <v>4946</v>
      </c>
    </row>
    <row r="1489" spans="1:32" s="608" customFormat="1" x14ac:dyDescent="0.25">
      <c r="A1489" s="624"/>
      <c r="B1489" s="617">
        <v>39061020742</v>
      </c>
      <c r="C1489" s="617" t="s">
        <v>3157</v>
      </c>
      <c r="D1489" s="617" t="s">
        <v>55</v>
      </c>
      <c r="E1489" s="617" t="s">
        <v>4850</v>
      </c>
      <c r="F1489" s="617" t="s">
        <v>26</v>
      </c>
      <c r="G1489" s="624"/>
      <c r="O1489" s="616"/>
      <c r="P1489" s="616"/>
      <c r="Q1489" s="616"/>
      <c r="AA1489" s="624"/>
      <c r="AB1489" s="663">
        <v>39061024902</v>
      </c>
      <c r="AC1489" s="663" t="s">
        <v>6421</v>
      </c>
      <c r="AD1489" s="663" t="s">
        <v>4938</v>
      </c>
      <c r="AE1489" s="663" t="s">
        <v>4934</v>
      </c>
      <c r="AF1489" s="663" t="s">
        <v>4946</v>
      </c>
    </row>
    <row r="1490" spans="1:32" s="608" customFormat="1" x14ac:dyDescent="0.25">
      <c r="A1490" s="624"/>
      <c r="B1490" s="617">
        <v>39061020762</v>
      </c>
      <c r="C1490" s="617" t="s">
        <v>3158</v>
      </c>
      <c r="D1490" s="617" t="s">
        <v>55</v>
      </c>
      <c r="E1490" s="617" t="s">
        <v>4850</v>
      </c>
      <c r="F1490" s="617" t="s">
        <v>26</v>
      </c>
      <c r="G1490" s="624"/>
      <c r="O1490" s="616"/>
      <c r="P1490" s="616"/>
      <c r="Q1490" s="616"/>
      <c r="AA1490" s="624"/>
      <c r="AB1490" s="663">
        <v>39061025001</v>
      </c>
      <c r="AC1490" s="663" t="s">
        <v>6422</v>
      </c>
      <c r="AD1490" s="663" t="s">
        <v>4941</v>
      </c>
      <c r="AE1490" s="663" t="s">
        <v>4931</v>
      </c>
      <c r="AF1490" s="663" t="s">
        <v>4946</v>
      </c>
    </row>
    <row r="1491" spans="1:32" s="608" customFormat="1" x14ac:dyDescent="0.25">
      <c r="A1491" s="624"/>
      <c r="B1491" s="617">
        <v>39061020763</v>
      </c>
      <c r="C1491" s="617" t="s">
        <v>3159</v>
      </c>
      <c r="D1491" s="617" t="s">
        <v>55</v>
      </c>
      <c r="E1491" s="617" t="s">
        <v>4850</v>
      </c>
      <c r="F1491" s="617" t="s">
        <v>26</v>
      </c>
      <c r="G1491" s="624"/>
      <c r="O1491" s="616"/>
      <c r="P1491" s="616"/>
      <c r="Q1491" s="616"/>
      <c r="AA1491" s="624"/>
      <c r="AB1491" s="663">
        <v>39061025002</v>
      </c>
      <c r="AC1491" s="663" t="s">
        <v>6423</v>
      </c>
      <c r="AD1491" s="663" t="s">
        <v>4938</v>
      </c>
      <c r="AE1491" s="663" t="s">
        <v>4931</v>
      </c>
      <c r="AF1491" s="663" t="s">
        <v>4946</v>
      </c>
    </row>
    <row r="1492" spans="1:32" s="608" customFormat="1" x14ac:dyDescent="0.25">
      <c r="A1492" s="624"/>
      <c r="B1492" s="617">
        <v>39061020764</v>
      </c>
      <c r="C1492" s="617" t="s">
        <v>3160</v>
      </c>
      <c r="D1492" s="617" t="s">
        <v>55</v>
      </c>
      <c r="E1492" s="617" t="s">
        <v>4850</v>
      </c>
      <c r="F1492" s="617" t="s">
        <v>26</v>
      </c>
      <c r="G1492" s="624"/>
      <c r="O1492" s="616"/>
      <c r="P1492" s="616"/>
      <c r="Q1492" s="616"/>
      <c r="AA1492" s="624"/>
      <c r="AB1492" s="663">
        <v>39061025101</v>
      </c>
      <c r="AC1492" s="663" t="s">
        <v>6424</v>
      </c>
      <c r="AD1492" s="663" t="s">
        <v>4938</v>
      </c>
      <c r="AE1492" s="663" t="s">
        <v>4928</v>
      </c>
      <c r="AF1492" s="663" t="s">
        <v>4946</v>
      </c>
    </row>
    <row r="1493" spans="1:32" s="608" customFormat="1" x14ac:dyDescent="0.25">
      <c r="A1493" s="624"/>
      <c r="B1493" s="617">
        <v>39061020802</v>
      </c>
      <c r="C1493" s="617" t="s">
        <v>3161</v>
      </c>
      <c r="D1493" s="617" t="s">
        <v>55</v>
      </c>
      <c r="E1493" s="617" t="s">
        <v>4850</v>
      </c>
      <c r="F1493" s="617" t="s">
        <v>26</v>
      </c>
      <c r="G1493" s="624"/>
      <c r="O1493" s="616"/>
      <c r="P1493" s="616"/>
      <c r="Q1493" s="616"/>
      <c r="AA1493" s="624"/>
      <c r="AB1493" s="663">
        <v>39061025102</v>
      </c>
      <c r="AC1493" s="663" t="s">
        <v>6425</v>
      </c>
      <c r="AD1493" s="663" t="s">
        <v>4938</v>
      </c>
      <c r="AE1493" s="663" t="s">
        <v>4931</v>
      </c>
      <c r="AF1493" s="663" t="s">
        <v>4946</v>
      </c>
    </row>
    <row r="1494" spans="1:32" s="608" customFormat="1" x14ac:dyDescent="0.25">
      <c r="A1494" s="624"/>
      <c r="B1494" s="617">
        <v>39061020811</v>
      </c>
      <c r="C1494" s="617" t="s">
        <v>3162</v>
      </c>
      <c r="D1494" s="617" t="s">
        <v>55</v>
      </c>
      <c r="E1494" s="617" t="s">
        <v>4850</v>
      </c>
      <c r="F1494" s="617" t="s">
        <v>26</v>
      </c>
      <c r="G1494" s="624"/>
      <c r="O1494" s="616"/>
      <c r="P1494" s="616"/>
      <c r="Q1494" s="616"/>
      <c r="AA1494" s="624"/>
      <c r="AB1494" s="663">
        <v>39061025103</v>
      </c>
      <c r="AC1494" s="663" t="s">
        <v>6426</v>
      </c>
      <c r="AD1494" s="663" t="s">
        <v>4941</v>
      </c>
      <c r="AE1494" s="663" t="s">
        <v>4931</v>
      </c>
      <c r="AF1494" s="663" t="s">
        <v>4946</v>
      </c>
    </row>
    <row r="1495" spans="1:32" s="608" customFormat="1" x14ac:dyDescent="0.25">
      <c r="A1495" s="624"/>
      <c r="B1495" s="617">
        <v>39061020812</v>
      </c>
      <c r="C1495" s="617" t="s">
        <v>3163</v>
      </c>
      <c r="D1495" s="617" t="s">
        <v>55</v>
      </c>
      <c r="E1495" s="617" t="s">
        <v>4850</v>
      </c>
      <c r="F1495" s="617" t="s">
        <v>26</v>
      </c>
      <c r="G1495" s="624"/>
      <c r="O1495" s="616"/>
      <c r="P1495" s="616"/>
      <c r="Q1495" s="616"/>
      <c r="AA1495" s="624"/>
      <c r="AB1495" s="663">
        <v>39061025104</v>
      </c>
      <c r="AC1495" s="663" t="s">
        <v>6427</v>
      </c>
      <c r="AD1495" s="663" t="s">
        <v>4938</v>
      </c>
      <c r="AE1495" s="663" t="s">
        <v>4931</v>
      </c>
      <c r="AF1495" s="663" t="s">
        <v>4929</v>
      </c>
    </row>
    <row r="1496" spans="1:32" s="608" customFormat="1" x14ac:dyDescent="0.25">
      <c r="A1496" s="624"/>
      <c r="B1496" s="617">
        <v>39061020901</v>
      </c>
      <c r="C1496" s="617" t="s">
        <v>3164</v>
      </c>
      <c r="D1496" s="617" t="s">
        <v>55</v>
      </c>
      <c r="E1496" s="617" t="s">
        <v>4850</v>
      </c>
      <c r="F1496" s="617" t="s">
        <v>26</v>
      </c>
      <c r="G1496" s="624"/>
      <c r="O1496" s="616"/>
      <c r="P1496" s="616"/>
      <c r="Q1496" s="616"/>
      <c r="AA1496" s="624"/>
      <c r="AB1496" s="663">
        <v>39061025200</v>
      </c>
      <c r="AC1496" s="663" t="s">
        <v>6428</v>
      </c>
      <c r="AD1496" s="663" t="s">
        <v>4950</v>
      </c>
      <c r="AE1496" s="663" t="s">
        <v>4934</v>
      </c>
      <c r="AF1496" s="663" t="s">
        <v>4946</v>
      </c>
    </row>
    <row r="1497" spans="1:32" s="608" customFormat="1" x14ac:dyDescent="0.25">
      <c r="A1497" s="624"/>
      <c r="B1497" s="617">
        <v>39061020902</v>
      </c>
      <c r="C1497" s="617" t="s">
        <v>3165</v>
      </c>
      <c r="D1497" s="617" t="s">
        <v>55</v>
      </c>
      <c r="E1497" s="617" t="s">
        <v>4850</v>
      </c>
      <c r="F1497" s="617" t="s">
        <v>26</v>
      </c>
      <c r="G1497" s="624"/>
      <c r="O1497" s="616"/>
      <c r="P1497" s="616"/>
      <c r="Q1497" s="616"/>
      <c r="AA1497" s="624"/>
      <c r="AB1497" s="663">
        <v>39061025300</v>
      </c>
      <c r="AC1497" s="663" t="s">
        <v>6429</v>
      </c>
      <c r="AD1497" s="663" t="s">
        <v>4948</v>
      </c>
      <c r="AE1497" s="663" t="s">
        <v>4939</v>
      </c>
      <c r="AF1497" s="663" t="s">
        <v>4946</v>
      </c>
    </row>
    <row r="1498" spans="1:32" s="608" customFormat="1" x14ac:dyDescent="0.25">
      <c r="A1498" s="624"/>
      <c r="B1498" s="617">
        <v>39061021001</v>
      </c>
      <c r="C1498" s="617" t="s">
        <v>3166</v>
      </c>
      <c r="D1498" s="617" t="s">
        <v>55</v>
      </c>
      <c r="E1498" s="617" t="s">
        <v>4850</v>
      </c>
      <c r="F1498" s="617" t="s">
        <v>26</v>
      </c>
      <c r="G1498" s="624"/>
      <c r="O1498" s="616"/>
      <c r="P1498" s="616"/>
      <c r="Q1498" s="616"/>
      <c r="AA1498" s="624"/>
      <c r="AB1498" s="663">
        <v>39061025401</v>
      </c>
      <c r="AC1498" s="663" t="s">
        <v>6430</v>
      </c>
      <c r="AD1498" s="663" t="s">
        <v>4941</v>
      </c>
      <c r="AE1498" s="663" t="s">
        <v>4939</v>
      </c>
      <c r="AF1498" s="663" t="s">
        <v>4946</v>
      </c>
    </row>
    <row r="1499" spans="1:32" s="608" customFormat="1" x14ac:dyDescent="0.25">
      <c r="A1499" s="624"/>
      <c r="B1499" s="617">
        <v>39061021002</v>
      </c>
      <c r="C1499" s="617" t="s">
        <v>3167</v>
      </c>
      <c r="D1499" s="617" t="s">
        <v>55</v>
      </c>
      <c r="E1499" s="617" t="s">
        <v>4850</v>
      </c>
      <c r="F1499" s="617" t="s">
        <v>26</v>
      </c>
      <c r="G1499" s="624"/>
      <c r="O1499" s="616"/>
      <c r="P1499" s="616"/>
      <c r="Q1499" s="616"/>
      <c r="AA1499" s="624"/>
      <c r="AB1499" s="663">
        <v>39061025402</v>
      </c>
      <c r="AC1499" s="663" t="s">
        <v>6431</v>
      </c>
      <c r="AD1499" s="663" t="s">
        <v>4941</v>
      </c>
      <c r="AE1499" s="663" t="s">
        <v>4934</v>
      </c>
      <c r="AF1499" s="663" t="s">
        <v>4946</v>
      </c>
    </row>
    <row r="1500" spans="1:32" s="608" customFormat="1" x14ac:dyDescent="0.25">
      <c r="A1500" s="624"/>
      <c r="B1500" s="617">
        <v>39061021003</v>
      </c>
      <c r="C1500" s="617" t="s">
        <v>3168</v>
      </c>
      <c r="D1500" s="617" t="s">
        <v>55</v>
      </c>
      <c r="E1500" s="617" t="s">
        <v>4850</v>
      </c>
      <c r="F1500" s="617" t="s">
        <v>26</v>
      </c>
      <c r="G1500" s="624"/>
      <c r="O1500" s="616"/>
      <c r="P1500" s="616"/>
      <c r="Q1500" s="616"/>
      <c r="AA1500" s="624"/>
      <c r="AB1500" s="663">
        <v>39061025500</v>
      </c>
      <c r="AC1500" s="663" t="s">
        <v>6432</v>
      </c>
      <c r="AD1500" s="663" t="s">
        <v>4950</v>
      </c>
      <c r="AE1500" s="663" t="s">
        <v>4931</v>
      </c>
      <c r="AF1500" s="663" t="s">
        <v>4946</v>
      </c>
    </row>
    <row r="1501" spans="1:32" s="608" customFormat="1" x14ac:dyDescent="0.25">
      <c r="A1501" s="624"/>
      <c r="B1501" s="617">
        <v>39061021101</v>
      </c>
      <c r="C1501" s="617" t="s">
        <v>3169</v>
      </c>
      <c r="D1501" s="617" t="s">
        <v>55</v>
      </c>
      <c r="E1501" s="617" t="s">
        <v>4850</v>
      </c>
      <c r="F1501" s="617" t="s">
        <v>26</v>
      </c>
      <c r="G1501" s="624"/>
      <c r="O1501" s="616"/>
      <c r="P1501" s="616"/>
      <c r="Q1501" s="616"/>
      <c r="AA1501" s="624"/>
      <c r="AB1501" s="663">
        <v>39061025600</v>
      </c>
      <c r="AC1501" s="663" t="s">
        <v>6433</v>
      </c>
      <c r="AD1501" s="663" t="s">
        <v>4948</v>
      </c>
      <c r="AE1501" s="663" t="s">
        <v>4939</v>
      </c>
      <c r="AF1501" s="663" t="s">
        <v>4946</v>
      </c>
    </row>
    <row r="1502" spans="1:32" s="608" customFormat="1" x14ac:dyDescent="0.25">
      <c r="A1502" s="624"/>
      <c r="B1502" s="617">
        <v>39061021102</v>
      </c>
      <c r="C1502" s="617" t="s">
        <v>3170</v>
      </c>
      <c r="D1502" s="617" t="s">
        <v>55</v>
      </c>
      <c r="E1502" s="617" t="s">
        <v>4850</v>
      </c>
      <c r="F1502" s="617" t="s">
        <v>26</v>
      </c>
      <c r="G1502" s="624"/>
      <c r="O1502" s="616"/>
      <c r="P1502" s="616"/>
      <c r="Q1502" s="616"/>
      <c r="AA1502" s="624"/>
      <c r="AB1502" s="663">
        <v>39061025700</v>
      </c>
      <c r="AC1502" s="663" t="s">
        <v>6434</v>
      </c>
      <c r="AD1502" s="663" t="s">
        <v>4927</v>
      </c>
      <c r="AE1502" s="663" t="s">
        <v>4942</v>
      </c>
      <c r="AF1502" s="663" t="s">
        <v>4946</v>
      </c>
    </row>
    <row r="1503" spans="1:32" s="608" customFormat="1" x14ac:dyDescent="0.25">
      <c r="A1503" s="624"/>
      <c r="B1503" s="617">
        <v>39061021201</v>
      </c>
      <c r="C1503" s="617" t="s">
        <v>3171</v>
      </c>
      <c r="D1503" s="617" t="s">
        <v>55</v>
      </c>
      <c r="E1503" s="617" t="s">
        <v>4850</v>
      </c>
      <c r="F1503" s="617" t="s">
        <v>26</v>
      </c>
      <c r="G1503" s="624"/>
      <c r="O1503" s="616"/>
      <c r="P1503" s="616"/>
      <c r="Q1503" s="616"/>
      <c r="AA1503" s="624"/>
      <c r="AB1503" s="663">
        <v>39061025800</v>
      </c>
      <c r="AC1503" s="663" t="s">
        <v>6435</v>
      </c>
      <c r="AD1503" s="663" t="s">
        <v>4950</v>
      </c>
      <c r="AE1503" s="663" t="s">
        <v>4939</v>
      </c>
      <c r="AF1503" s="663" t="s">
        <v>4946</v>
      </c>
    </row>
    <row r="1504" spans="1:32" s="608" customFormat="1" x14ac:dyDescent="0.25">
      <c r="A1504" s="624"/>
      <c r="B1504" s="617">
        <v>39061021202</v>
      </c>
      <c r="C1504" s="617" t="s">
        <v>3172</v>
      </c>
      <c r="D1504" s="617" t="s">
        <v>55</v>
      </c>
      <c r="E1504" s="617" t="s">
        <v>4850</v>
      </c>
      <c r="F1504" s="617" t="s">
        <v>26</v>
      </c>
      <c r="G1504" s="624"/>
      <c r="O1504" s="616"/>
      <c r="P1504" s="616"/>
      <c r="Q1504" s="616"/>
      <c r="AA1504" s="624"/>
      <c r="AB1504" s="663">
        <v>39061026001</v>
      </c>
      <c r="AC1504" s="663" t="s">
        <v>6436</v>
      </c>
      <c r="AD1504" s="663" t="s">
        <v>4938</v>
      </c>
      <c r="AE1504" s="663" t="s">
        <v>4939</v>
      </c>
      <c r="AF1504" s="663" t="s">
        <v>4929</v>
      </c>
    </row>
    <row r="1505" spans="1:32" s="608" customFormat="1" x14ac:dyDescent="0.25">
      <c r="A1505" s="624"/>
      <c r="B1505" s="617">
        <v>39061021302</v>
      </c>
      <c r="C1505" s="617" t="s">
        <v>3173</v>
      </c>
      <c r="D1505" s="617" t="s">
        <v>55</v>
      </c>
      <c r="E1505" s="617" t="s">
        <v>4850</v>
      </c>
      <c r="F1505" s="617" t="s">
        <v>26</v>
      </c>
      <c r="G1505" s="624"/>
      <c r="O1505" s="616"/>
      <c r="P1505" s="616"/>
      <c r="Q1505" s="616"/>
      <c r="AA1505" s="624"/>
      <c r="AB1505" s="663">
        <v>39061026002</v>
      </c>
      <c r="AC1505" s="663" t="s">
        <v>6437</v>
      </c>
      <c r="AD1505" s="663" t="s">
        <v>4941</v>
      </c>
      <c r="AE1505" s="663" t="s">
        <v>4939</v>
      </c>
      <c r="AF1505" s="663" t="s">
        <v>4929</v>
      </c>
    </row>
    <row r="1506" spans="1:32" s="608" customFormat="1" x14ac:dyDescent="0.25">
      <c r="A1506" s="624"/>
      <c r="B1506" s="617">
        <v>39061021303</v>
      </c>
      <c r="C1506" s="617" t="s">
        <v>3174</v>
      </c>
      <c r="D1506" s="617" t="s">
        <v>55</v>
      </c>
      <c r="E1506" s="617" t="s">
        <v>4850</v>
      </c>
      <c r="F1506" s="617" t="s">
        <v>26</v>
      </c>
      <c r="G1506" s="624"/>
      <c r="O1506" s="616"/>
      <c r="P1506" s="616"/>
      <c r="Q1506" s="616"/>
      <c r="AA1506" s="624"/>
      <c r="AB1506" s="663">
        <v>39061026101</v>
      </c>
      <c r="AC1506" s="663" t="s">
        <v>6438</v>
      </c>
      <c r="AD1506" s="663" t="s">
        <v>4948</v>
      </c>
      <c r="AE1506" s="663" t="s">
        <v>4928</v>
      </c>
      <c r="AF1506" s="663" t="s">
        <v>4929</v>
      </c>
    </row>
    <row r="1507" spans="1:32" s="608" customFormat="1" x14ac:dyDescent="0.25">
      <c r="A1507" s="624"/>
      <c r="B1507" s="617">
        <v>39061021304</v>
      </c>
      <c r="C1507" s="617" t="s">
        <v>3175</v>
      </c>
      <c r="D1507" s="617" t="s">
        <v>55</v>
      </c>
      <c r="E1507" s="617" t="s">
        <v>4850</v>
      </c>
      <c r="F1507" s="617" t="s">
        <v>26</v>
      </c>
      <c r="G1507" s="624"/>
      <c r="O1507" s="616"/>
      <c r="P1507" s="616"/>
      <c r="Q1507" s="616"/>
      <c r="AA1507" s="624"/>
      <c r="AB1507" s="663">
        <v>39061026102</v>
      </c>
      <c r="AC1507" s="663" t="s">
        <v>6439</v>
      </c>
      <c r="AD1507" s="663" t="s">
        <v>4948</v>
      </c>
      <c r="AE1507" s="663" t="s">
        <v>4934</v>
      </c>
      <c r="AF1507" s="663" t="s">
        <v>4929</v>
      </c>
    </row>
    <row r="1508" spans="1:32" s="608" customFormat="1" x14ac:dyDescent="0.25">
      <c r="A1508" s="624"/>
      <c r="B1508" s="617">
        <v>39061021401</v>
      </c>
      <c r="C1508" s="617" t="s">
        <v>3176</v>
      </c>
      <c r="D1508" s="617" t="s">
        <v>55</v>
      </c>
      <c r="E1508" s="617" t="s">
        <v>4850</v>
      </c>
      <c r="F1508" s="617" t="s">
        <v>26</v>
      </c>
      <c r="G1508" s="624"/>
      <c r="O1508" s="616"/>
      <c r="P1508" s="616"/>
      <c r="Q1508" s="616"/>
      <c r="AA1508" s="624"/>
      <c r="AB1508" s="663">
        <v>39061026200</v>
      </c>
      <c r="AC1508" s="663" t="s">
        <v>6440</v>
      </c>
      <c r="AD1508" s="663" t="s">
        <v>4927</v>
      </c>
      <c r="AE1508" s="663" t="s">
        <v>4939</v>
      </c>
      <c r="AF1508" s="663" t="s">
        <v>4929</v>
      </c>
    </row>
    <row r="1509" spans="1:32" s="608" customFormat="1" x14ac:dyDescent="0.25">
      <c r="A1509" s="624"/>
      <c r="B1509" s="617">
        <v>39061021421</v>
      </c>
      <c r="C1509" s="617" t="s">
        <v>3177</v>
      </c>
      <c r="D1509" s="617" t="s">
        <v>55</v>
      </c>
      <c r="E1509" s="617" t="s">
        <v>4850</v>
      </c>
      <c r="F1509" s="617" t="s">
        <v>26</v>
      </c>
      <c r="G1509" s="624"/>
      <c r="O1509" s="616"/>
      <c r="P1509" s="616"/>
      <c r="Q1509" s="616"/>
      <c r="AA1509" s="624"/>
      <c r="AB1509" s="663">
        <v>39061026300</v>
      </c>
      <c r="AC1509" s="663" t="s">
        <v>6441</v>
      </c>
      <c r="AD1509" s="663" t="s">
        <v>4927</v>
      </c>
      <c r="AE1509" s="663" t="s">
        <v>4928</v>
      </c>
      <c r="AF1509" s="663" t="s">
        <v>4962</v>
      </c>
    </row>
    <row r="1510" spans="1:32" s="608" customFormat="1" x14ac:dyDescent="0.25">
      <c r="A1510" s="624"/>
      <c r="B1510" s="617">
        <v>39061021422</v>
      </c>
      <c r="C1510" s="617" t="s">
        <v>3178</v>
      </c>
      <c r="D1510" s="617" t="s">
        <v>55</v>
      </c>
      <c r="E1510" s="617" t="s">
        <v>4850</v>
      </c>
      <c r="F1510" s="617" t="s">
        <v>26</v>
      </c>
      <c r="G1510" s="624"/>
      <c r="O1510" s="616"/>
      <c r="P1510" s="616"/>
      <c r="Q1510" s="616"/>
      <c r="AA1510" s="624"/>
      <c r="AB1510" s="663">
        <v>39061026400</v>
      </c>
      <c r="AC1510" s="663" t="s">
        <v>6442</v>
      </c>
      <c r="AD1510" s="663" t="s">
        <v>4948</v>
      </c>
      <c r="AE1510" s="663" t="s">
        <v>4939</v>
      </c>
      <c r="AF1510" s="663" t="s">
        <v>4962</v>
      </c>
    </row>
    <row r="1511" spans="1:32" s="608" customFormat="1" x14ac:dyDescent="0.25">
      <c r="A1511" s="624"/>
      <c r="B1511" s="617">
        <v>39061021501</v>
      </c>
      <c r="C1511" s="617" t="s">
        <v>3179</v>
      </c>
      <c r="D1511" s="617" t="s">
        <v>55</v>
      </c>
      <c r="E1511" s="617" t="s">
        <v>4850</v>
      </c>
      <c r="F1511" s="617" t="s">
        <v>26</v>
      </c>
      <c r="G1511" s="624"/>
      <c r="O1511" s="616"/>
      <c r="P1511" s="616"/>
      <c r="Q1511" s="616"/>
      <c r="AA1511" s="624"/>
      <c r="AB1511" s="663">
        <v>39061026500</v>
      </c>
      <c r="AC1511" s="663" t="s">
        <v>6443</v>
      </c>
      <c r="AD1511" s="663" t="s">
        <v>4938</v>
      </c>
      <c r="AE1511" s="663" t="s">
        <v>4939</v>
      </c>
      <c r="AF1511" s="663" t="s">
        <v>4962</v>
      </c>
    </row>
    <row r="1512" spans="1:32" s="608" customFormat="1" x14ac:dyDescent="0.25">
      <c r="A1512" s="624"/>
      <c r="B1512" s="617">
        <v>39061021504</v>
      </c>
      <c r="C1512" s="617" t="s">
        <v>3180</v>
      </c>
      <c r="D1512" s="617" t="s">
        <v>55</v>
      </c>
      <c r="E1512" s="617" t="s">
        <v>4850</v>
      </c>
      <c r="F1512" s="617" t="s">
        <v>26</v>
      </c>
      <c r="G1512" s="624"/>
      <c r="O1512" s="616"/>
      <c r="P1512" s="616"/>
      <c r="Q1512" s="616"/>
      <c r="AA1512" s="624"/>
      <c r="AB1512" s="663">
        <v>39061026600</v>
      </c>
      <c r="AC1512" s="663" t="s">
        <v>6444</v>
      </c>
      <c r="AD1512" s="663" t="s">
        <v>4948</v>
      </c>
      <c r="AE1512" s="663" t="s">
        <v>4939</v>
      </c>
      <c r="AF1512" s="663" t="s">
        <v>4946</v>
      </c>
    </row>
    <row r="1513" spans="1:32" s="608" customFormat="1" x14ac:dyDescent="0.25">
      <c r="A1513" s="624"/>
      <c r="B1513" s="617">
        <v>39061021505</v>
      </c>
      <c r="C1513" s="617" t="s">
        <v>3181</v>
      </c>
      <c r="D1513" s="617" t="s">
        <v>55</v>
      </c>
      <c r="E1513" s="617" t="s">
        <v>4850</v>
      </c>
      <c r="F1513" s="617" t="s">
        <v>26</v>
      </c>
      <c r="G1513" s="624"/>
      <c r="O1513" s="616"/>
      <c r="P1513" s="616"/>
      <c r="Q1513" s="616"/>
      <c r="AA1513" s="624"/>
      <c r="AB1513" s="663">
        <v>39061026700</v>
      </c>
      <c r="AC1513" s="663" t="s">
        <v>6445</v>
      </c>
      <c r="AD1513" s="663" t="s">
        <v>4927</v>
      </c>
      <c r="AE1513" s="663" t="s">
        <v>4939</v>
      </c>
      <c r="AF1513" s="663" t="s">
        <v>4962</v>
      </c>
    </row>
    <row r="1514" spans="1:32" s="608" customFormat="1" x14ac:dyDescent="0.25">
      <c r="A1514" s="624"/>
      <c r="B1514" s="617">
        <v>39061021506</v>
      </c>
      <c r="C1514" s="617" t="s">
        <v>3182</v>
      </c>
      <c r="D1514" s="617" t="s">
        <v>55</v>
      </c>
      <c r="E1514" s="617" t="s">
        <v>4850</v>
      </c>
      <c r="F1514" s="617" t="s">
        <v>26</v>
      </c>
      <c r="G1514" s="624"/>
      <c r="O1514" s="616"/>
      <c r="P1514" s="616"/>
      <c r="Q1514" s="616"/>
      <c r="AA1514" s="624"/>
      <c r="AB1514" s="663">
        <v>39061026800</v>
      </c>
      <c r="AC1514" s="663" t="s">
        <v>6446</v>
      </c>
      <c r="AD1514" s="663" t="s">
        <v>4938</v>
      </c>
      <c r="AE1514" s="663" t="s">
        <v>4931</v>
      </c>
      <c r="AF1514" s="663" t="s">
        <v>4962</v>
      </c>
    </row>
    <row r="1515" spans="1:32" s="608" customFormat="1" x14ac:dyDescent="0.25">
      <c r="A1515" s="624"/>
      <c r="B1515" s="617">
        <v>39061021508</v>
      </c>
      <c r="C1515" s="617" t="s">
        <v>3183</v>
      </c>
      <c r="D1515" s="617" t="s">
        <v>55</v>
      </c>
      <c r="E1515" s="617" t="s">
        <v>4850</v>
      </c>
      <c r="F1515" s="617" t="s">
        <v>26</v>
      </c>
      <c r="G1515" s="624"/>
      <c r="O1515" s="616"/>
      <c r="P1515" s="616"/>
      <c r="Q1515" s="616"/>
      <c r="AA1515" s="624"/>
      <c r="AB1515" s="663">
        <v>39061026900</v>
      </c>
      <c r="AC1515" s="663" t="s">
        <v>6447</v>
      </c>
      <c r="AD1515" s="663" t="s">
        <v>4927</v>
      </c>
      <c r="AE1515" s="663" t="s">
        <v>4939</v>
      </c>
      <c r="AF1515" s="663" t="s">
        <v>4962</v>
      </c>
    </row>
    <row r="1516" spans="1:32" s="608" customFormat="1" x14ac:dyDescent="0.25">
      <c r="A1516" s="624"/>
      <c r="B1516" s="617">
        <v>39061021509</v>
      </c>
      <c r="C1516" s="617" t="s">
        <v>3184</v>
      </c>
      <c r="D1516" s="617" t="s">
        <v>55</v>
      </c>
      <c r="E1516" s="617" t="s">
        <v>4850</v>
      </c>
      <c r="F1516" s="617" t="s">
        <v>26</v>
      </c>
      <c r="G1516" s="624"/>
      <c r="O1516" s="616"/>
      <c r="P1516" s="616"/>
      <c r="Q1516" s="616"/>
      <c r="AA1516" s="624"/>
      <c r="AB1516" s="663">
        <v>39061027000</v>
      </c>
      <c r="AC1516" s="663" t="s">
        <v>6448</v>
      </c>
      <c r="AD1516" s="663" t="s">
        <v>4950</v>
      </c>
      <c r="AE1516" s="663" t="s">
        <v>4931</v>
      </c>
      <c r="AF1516" s="663" t="s">
        <v>4962</v>
      </c>
    </row>
    <row r="1517" spans="1:32" s="608" customFormat="1" x14ac:dyDescent="0.25">
      <c r="A1517" s="624"/>
      <c r="B1517" s="617">
        <v>39061021571</v>
      </c>
      <c r="C1517" s="617" t="s">
        <v>3185</v>
      </c>
      <c r="D1517" s="617" t="s">
        <v>55</v>
      </c>
      <c r="E1517" s="617" t="s">
        <v>4850</v>
      </c>
      <c r="F1517" s="617" t="s">
        <v>26</v>
      </c>
      <c r="G1517" s="624"/>
      <c r="O1517" s="616"/>
      <c r="P1517" s="616"/>
      <c r="Q1517" s="616"/>
      <c r="AA1517" s="624"/>
      <c r="AB1517" s="663">
        <v>39061027100</v>
      </c>
      <c r="AC1517" s="663" t="s">
        <v>6449</v>
      </c>
      <c r="AD1517" s="663" t="s">
        <v>4950</v>
      </c>
      <c r="AE1517" s="663" t="s">
        <v>4928</v>
      </c>
      <c r="AF1517" s="663" t="s">
        <v>4962</v>
      </c>
    </row>
    <row r="1518" spans="1:32" s="608" customFormat="1" x14ac:dyDescent="0.25">
      <c r="A1518" s="624"/>
      <c r="B1518" s="617">
        <v>39061021572</v>
      </c>
      <c r="C1518" s="617" t="s">
        <v>3186</v>
      </c>
      <c r="D1518" s="617" t="s">
        <v>55</v>
      </c>
      <c r="E1518" s="617" t="s">
        <v>4850</v>
      </c>
      <c r="F1518" s="617" t="s">
        <v>26</v>
      </c>
      <c r="G1518" s="624"/>
      <c r="O1518" s="616"/>
      <c r="P1518" s="616"/>
      <c r="Q1518" s="616"/>
      <c r="AA1518" s="624"/>
      <c r="AB1518" s="663">
        <v>39061027200</v>
      </c>
      <c r="AC1518" s="663" t="s">
        <v>6450</v>
      </c>
      <c r="AD1518" s="663" t="s">
        <v>4927</v>
      </c>
      <c r="AE1518" s="663" t="s">
        <v>4942</v>
      </c>
      <c r="AF1518" s="663" t="s">
        <v>4962</v>
      </c>
    </row>
    <row r="1519" spans="1:32" s="608" customFormat="1" x14ac:dyDescent="0.25">
      <c r="A1519" s="624"/>
      <c r="B1519" s="617">
        <v>39061021602</v>
      </c>
      <c r="C1519" s="617" t="s">
        <v>3187</v>
      </c>
      <c r="D1519" s="617" t="s">
        <v>55</v>
      </c>
      <c r="E1519" s="617" t="s">
        <v>4850</v>
      </c>
      <c r="F1519" s="617" t="s">
        <v>26</v>
      </c>
      <c r="G1519" s="624"/>
      <c r="O1519" s="616"/>
      <c r="P1519" s="616"/>
      <c r="Q1519" s="616"/>
      <c r="AA1519" s="624"/>
      <c r="AB1519" s="663">
        <v>39061027300</v>
      </c>
      <c r="AC1519" s="663" t="s">
        <v>6451</v>
      </c>
      <c r="AD1519" s="663" t="s">
        <v>4938</v>
      </c>
      <c r="AE1519" s="663" t="s">
        <v>4931</v>
      </c>
      <c r="AF1519" s="663" t="s">
        <v>4946</v>
      </c>
    </row>
    <row r="1520" spans="1:32" s="608" customFormat="1" x14ac:dyDescent="0.25">
      <c r="A1520" s="624"/>
      <c r="B1520" s="617">
        <v>39061021603</v>
      </c>
      <c r="C1520" s="617" t="s">
        <v>3188</v>
      </c>
      <c r="D1520" s="617" t="s">
        <v>55</v>
      </c>
      <c r="E1520" s="617" t="s">
        <v>4850</v>
      </c>
      <c r="F1520" s="617" t="s">
        <v>26</v>
      </c>
      <c r="G1520" s="624"/>
      <c r="O1520" s="616"/>
      <c r="P1520" s="616"/>
      <c r="Q1520" s="616"/>
      <c r="AA1520" s="624"/>
      <c r="AB1520" s="663">
        <v>39061027400</v>
      </c>
      <c r="AC1520" s="663" t="s">
        <v>6452</v>
      </c>
      <c r="AD1520" s="663" t="s">
        <v>4927</v>
      </c>
      <c r="AE1520" s="663" t="s">
        <v>4928</v>
      </c>
      <c r="AF1520" s="663" t="s">
        <v>4946</v>
      </c>
    </row>
    <row r="1521" spans="1:32" s="608" customFormat="1" x14ac:dyDescent="0.25">
      <c r="A1521" s="624"/>
      <c r="B1521" s="617">
        <v>39061021604</v>
      </c>
      <c r="C1521" s="617" t="s">
        <v>3189</v>
      </c>
      <c r="D1521" s="617" t="s">
        <v>55</v>
      </c>
      <c r="E1521" s="617" t="s">
        <v>4850</v>
      </c>
      <c r="F1521" s="617" t="s">
        <v>24</v>
      </c>
      <c r="G1521" s="624"/>
      <c r="O1521" s="616"/>
      <c r="P1521" s="616"/>
      <c r="Q1521" s="616"/>
      <c r="AA1521" s="624"/>
      <c r="AB1521" s="663">
        <v>39063000100</v>
      </c>
      <c r="AC1521" s="663" t="s">
        <v>6453</v>
      </c>
      <c r="AD1521" s="663" t="s">
        <v>4948</v>
      </c>
      <c r="AE1521" s="663" t="s">
        <v>4934</v>
      </c>
      <c r="AF1521" s="663" t="s">
        <v>4929</v>
      </c>
    </row>
    <row r="1522" spans="1:32" s="608" customFormat="1" x14ac:dyDescent="0.25">
      <c r="A1522" s="624"/>
      <c r="B1522" s="617">
        <v>39061021701</v>
      </c>
      <c r="C1522" s="617" t="s">
        <v>3190</v>
      </c>
      <c r="D1522" s="617" t="s">
        <v>55</v>
      </c>
      <c r="E1522" s="617" t="s">
        <v>4850</v>
      </c>
      <c r="F1522" s="617" t="s">
        <v>24</v>
      </c>
      <c r="G1522" s="624"/>
      <c r="O1522" s="616"/>
      <c r="P1522" s="616"/>
      <c r="Q1522" s="616"/>
      <c r="AA1522" s="624"/>
      <c r="AB1522" s="663">
        <v>39063000200</v>
      </c>
      <c r="AC1522" s="663" t="s">
        <v>6454</v>
      </c>
      <c r="AD1522" s="663" t="s">
        <v>4938</v>
      </c>
      <c r="AE1522" s="663" t="s">
        <v>4928</v>
      </c>
      <c r="AF1522" s="663" t="s">
        <v>4929</v>
      </c>
    </row>
    <row r="1523" spans="1:32" s="608" customFormat="1" x14ac:dyDescent="0.25">
      <c r="A1523" s="624"/>
      <c r="B1523" s="617">
        <v>39061021702</v>
      </c>
      <c r="C1523" s="617" t="s">
        <v>3191</v>
      </c>
      <c r="D1523" s="617" t="s">
        <v>55</v>
      </c>
      <c r="E1523" s="617" t="s">
        <v>4850</v>
      </c>
      <c r="F1523" s="617" t="s">
        <v>24</v>
      </c>
      <c r="G1523" s="624"/>
      <c r="O1523" s="616"/>
      <c r="P1523" s="616"/>
      <c r="Q1523" s="616"/>
      <c r="AA1523" s="624"/>
      <c r="AB1523" s="663">
        <v>39063000300</v>
      </c>
      <c r="AC1523" s="663" t="s">
        <v>6455</v>
      </c>
      <c r="AD1523" s="663" t="s">
        <v>4941</v>
      </c>
      <c r="AE1523" s="663" t="s">
        <v>4931</v>
      </c>
      <c r="AF1523" s="663" t="s">
        <v>4929</v>
      </c>
    </row>
    <row r="1524" spans="1:32" s="608" customFormat="1" x14ac:dyDescent="0.25">
      <c r="A1524" s="624"/>
      <c r="B1524" s="617">
        <v>39061021801</v>
      </c>
      <c r="C1524" s="617" t="s">
        <v>3192</v>
      </c>
      <c r="D1524" s="617" t="s">
        <v>55</v>
      </c>
      <c r="E1524" s="617" t="s">
        <v>4850</v>
      </c>
      <c r="F1524" s="617" t="s">
        <v>26</v>
      </c>
      <c r="G1524" s="624"/>
      <c r="O1524" s="616"/>
      <c r="P1524" s="616"/>
      <c r="Q1524" s="616"/>
      <c r="AA1524" s="624"/>
      <c r="AB1524" s="663">
        <v>39063000400</v>
      </c>
      <c r="AC1524" s="663" t="s">
        <v>6456</v>
      </c>
      <c r="AD1524" s="663" t="s">
        <v>4938</v>
      </c>
      <c r="AE1524" s="663" t="s">
        <v>4939</v>
      </c>
      <c r="AF1524" s="663" t="s">
        <v>4929</v>
      </c>
    </row>
    <row r="1525" spans="1:32" s="608" customFormat="1" x14ac:dyDescent="0.25">
      <c r="A1525" s="624"/>
      <c r="B1525" s="617">
        <v>39061021802</v>
      </c>
      <c r="C1525" s="617" t="s">
        <v>3193</v>
      </c>
      <c r="D1525" s="617" t="s">
        <v>55</v>
      </c>
      <c r="E1525" s="617" t="s">
        <v>4850</v>
      </c>
      <c r="F1525" s="617" t="s">
        <v>26</v>
      </c>
      <c r="G1525" s="624"/>
      <c r="O1525" s="616"/>
      <c r="P1525" s="616"/>
      <c r="Q1525" s="616"/>
      <c r="AA1525" s="624"/>
      <c r="AB1525" s="663">
        <v>39063000500</v>
      </c>
      <c r="AC1525" s="663" t="s">
        <v>6457</v>
      </c>
      <c r="AD1525" s="663" t="s">
        <v>4950</v>
      </c>
      <c r="AE1525" s="663" t="s">
        <v>4939</v>
      </c>
      <c r="AF1525" s="663" t="s">
        <v>4929</v>
      </c>
    </row>
    <row r="1526" spans="1:32" s="608" customFormat="1" x14ac:dyDescent="0.25">
      <c r="A1526" s="624"/>
      <c r="B1526" s="617">
        <v>39061021900</v>
      </c>
      <c r="C1526" s="617" t="s">
        <v>3194</v>
      </c>
      <c r="D1526" s="617" t="s">
        <v>55</v>
      </c>
      <c r="E1526" s="617" t="s">
        <v>4850</v>
      </c>
      <c r="F1526" s="617" t="s">
        <v>24</v>
      </c>
      <c r="G1526" s="624"/>
      <c r="O1526" s="616"/>
      <c r="P1526" s="616"/>
      <c r="Q1526" s="616"/>
      <c r="AA1526" s="624"/>
      <c r="AB1526" s="663">
        <v>39063000600</v>
      </c>
      <c r="AC1526" s="663" t="s">
        <v>6458</v>
      </c>
      <c r="AD1526" s="663" t="s">
        <v>4941</v>
      </c>
      <c r="AE1526" s="663" t="s">
        <v>4942</v>
      </c>
      <c r="AF1526" s="663" t="s">
        <v>4929</v>
      </c>
    </row>
    <row r="1527" spans="1:32" s="608" customFormat="1" x14ac:dyDescent="0.25">
      <c r="A1527" s="624"/>
      <c r="B1527" s="617">
        <v>39061022000</v>
      </c>
      <c r="C1527" s="617" t="s">
        <v>3195</v>
      </c>
      <c r="D1527" s="617" t="s">
        <v>55</v>
      </c>
      <c r="E1527" s="617" t="s">
        <v>4850</v>
      </c>
      <c r="F1527" s="617" t="s">
        <v>26</v>
      </c>
      <c r="G1527" s="624"/>
      <c r="O1527" s="616"/>
      <c r="P1527" s="616"/>
      <c r="Q1527" s="616"/>
      <c r="AA1527" s="624"/>
      <c r="AB1527" s="663">
        <v>39063000700</v>
      </c>
      <c r="AC1527" s="663" t="s">
        <v>6459</v>
      </c>
      <c r="AD1527" s="663" t="s">
        <v>4938</v>
      </c>
      <c r="AE1527" s="663" t="s">
        <v>4942</v>
      </c>
      <c r="AF1527" s="663" t="s">
        <v>4929</v>
      </c>
    </row>
    <row r="1528" spans="1:32" s="608" customFormat="1" x14ac:dyDescent="0.25">
      <c r="A1528" s="624"/>
      <c r="B1528" s="617">
        <v>39061022101</v>
      </c>
      <c r="C1528" s="617" t="s">
        <v>3196</v>
      </c>
      <c r="D1528" s="617" t="s">
        <v>55</v>
      </c>
      <c r="E1528" s="617" t="s">
        <v>4850</v>
      </c>
      <c r="F1528" s="617" t="s">
        <v>26</v>
      </c>
      <c r="G1528" s="624"/>
      <c r="O1528" s="616"/>
      <c r="P1528" s="616"/>
      <c r="Q1528" s="616"/>
      <c r="AA1528" s="624"/>
      <c r="AB1528" s="663">
        <v>39063000800</v>
      </c>
      <c r="AC1528" s="663" t="s">
        <v>6460</v>
      </c>
      <c r="AD1528" s="663" t="s">
        <v>4941</v>
      </c>
      <c r="AE1528" s="663" t="s">
        <v>4934</v>
      </c>
      <c r="AF1528" s="663" t="s">
        <v>4983</v>
      </c>
    </row>
    <row r="1529" spans="1:32" s="608" customFormat="1" x14ac:dyDescent="0.25">
      <c r="A1529" s="624"/>
      <c r="B1529" s="617">
        <v>39061022102</v>
      </c>
      <c r="C1529" s="617" t="s">
        <v>3197</v>
      </c>
      <c r="D1529" s="617" t="s">
        <v>55</v>
      </c>
      <c r="E1529" s="617" t="s">
        <v>4850</v>
      </c>
      <c r="F1529" s="617" t="s">
        <v>26</v>
      </c>
      <c r="G1529" s="624"/>
      <c r="O1529" s="616"/>
      <c r="P1529" s="616"/>
      <c r="Q1529" s="616"/>
      <c r="AA1529" s="624"/>
      <c r="AB1529" s="663">
        <v>39063000900</v>
      </c>
      <c r="AC1529" s="663" t="s">
        <v>6461</v>
      </c>
      <c r="AD1529" s="663" t="s">
        <v>4927</v>
      </c>
      <c r="AE1529" s="663" t="s">
        <v>4934</v>
      </c>
      <c r="AF1529" s="663" t="s">
        <v>4983</v>
      </c>
    </row>
    <row r="1530" spans="1:32" s="608" customFormat="1" x14ac:dyDescent="0.25">
      <c r="A1530" s="624"/>
      <c r="B1530" s="617">
        <v>39061022200</v>
      </c>
      <c r="C1530" s="617" t="s">
        <v>3198</v>
      </c>
      <c r="D1530" s="617" t="s">
        <v>55</v>
      </c>
      <c r="E1530" s="617" t="s">
        <v>4850</v>
      </c>
      <c r="F1530" s="617" t="s">
        <v>26</v>
      </c>
      <c r="G1530" s="624"/>
      <c r="O1530" s="616"/>
      <c r="P1530" s="616"/>
      <c r="Q1530" s="616"/>
      <c r="AA1530" s="624"/>
      <c r="AB1530" s="663">
        <v>39063001000</v>
      </c>
      <c r="AC1530" s="663" t="s">
        <v>6462</v>
      </c>
      <c r="AD1530" s="663" t="s">
        <v>4941</v>
      </c>
      <c r="AE1530" s="663" t="s">
        <v>4942</v>
      </c>
      <c r="AF1530" s="663" t="s">
        <v>4929</v>
      </c>
    </row>
    <row r="1531" spans="1:32" s="608" customFormat="1" x14ac:dyDescent="0.25">
      <c r="A1531" s="624"/>
      <c r="B1531" s="617">
        <v>39061022301</v>
      </c>
      <c r="C1531" s="617" t="s">
        <v>3199</v>
      </c>
      <c r="D1531" s="617" t="s">
        <v>55</v>
      </c>
      <c r="E1531" s="617" t="s">
        <v>4850</v>
      </c>
      <c r="F1531" s="617" t="s">
        <v>24</v>
      </c>
      <c r="G1531" s="624"/>
      <c r="O1531" s="616"/>
      <c r="P1531" s="616"/>
      <c r="Q1531" s="616"/>
      <c r="AA1531" s="624"/>
      <c r="AB1531" s="663">
        <v>39063001100</v>
      </c>
      <c r="AC1531" s="663" t="s">
        <v>6463</v>
      </c>
      <c r="AD1531" s="663" t="s">
        <v>4941</v>
      </c>
      <c r="AE1531" s="663" t="s">
        <v>4942</v>
      </c>
      <c r="AF1531" s="663" t="s">
        <v>4929</v>
      </c>
    </row>
    <row r="1532" spans="1:32" s="608" customFormat="1" x14ac:dyDescent="0.25">
      <c r="A1532" s="624"/>
      <c r="B1532" s="617">
        <v>39061022302</v>
      </c>
      <c r="C1532" s="617" t="s">
        <v>3200</v>
      </c>
      <c r="D1532" s="617" t="s">
        <v>55</v>
      </c>
      <c r="E1532" s="617" t="s">
        <v>4850</v>
      </c>
      <c r="F1532" s="617" t="s">
        <v>26</v>
      </c>
      <c r="G1532" s="624"/>
      <c r="O1532" s="616"/>
      <c r="P1532" s="616"/>
      <c r="Q1532" s="616"/>
      <c r="AA1532" s="624"/>
      <c r="AB1532" s="663">
        <v>39063001200</v>
      </c>
      <c r="AC1532" s="663" t="s">
        <v>6464</v>
      </c>
      <c r="AD1532" s="663" t="s">
        <v>4948</v>
      </c>
      <c r="AE1532" s="663" t="s">
        <v>4942</v>
      </c>
      <c r="AF1532" s="663" t="s">
        <v>4929</v>
      </c>
    </row>
    <row r="1533" spans="1:32" s="608" customFormat="1" x14ac:dyDescent="0.25">
      <c r="A1533" s="624"/>
      <c r="B1533" s="617">
        <v>39061022400</v>
      </c>
      <c r="C1533" s="617" t="s">
        <v>3201</v>
      </c>
      <c r="D1533" s="617" t="s">
        <v>55</v>
      </c>
      <c r="E1533" s="617" t="s">
        <v>4850</v>
      </c>
      <c r="F1533" s="617" t="s">
        <v>26</v>
      </c>
      <c r="G1533" s="624"/>
      <c r="O1533" s="616"/>
      <c r="P1533" s="616"/>
      <c r="Q1533" s="616"/>
      <c r="AA1533" s="624"/>
      <c r="AB1533" s="663">
        <v>39063001300</v>
      </c>
      <c r="AC1533" s="663" t="s">
        <v>6465</v>
      </c>
      <c r="AD1533" s="663" t="s">
        <v>4941</v>
      </c>
      <c r="AE1533" s="663" t="s">
        <v>4931</v>
      </c>
      <c r="AF1533" s="663" t="s">
        <v>4929</v>
      </c>
    </row>
    <row r="1534" spans="1:32" s="608" customFormat="1" x14ac:dyDescent="0.25">
      <c r="A1534" s="624"/>
      <c r="B1534" s="617">
        <v>39061022500</v>
      </c>
      <c r="C1534" s="617" t="s">
        <v>3202</v>
      </c>
      <c r="D1534" s="617" t="s">
        <v>55</v>
      </c>
      <c r="E1534" s="617" t="s">
        <v>4850</v>
      </c>
      <c r="F1534" s="617" t="s">
        <v>26</v>
      </c>
      <c r="G1534" s="624"/>
      <c r="O1534" s="616"/>
      <c r="P1534" s="616"/>
      <c r="Q1534" s="616"/>
      <c r="AA1534" s="624"/>
      <c r="AB1534" s="663">
        <v>39065000100</v>
      </c>
      <c r="AC1534" s="663" t="s">
        <v>6466</v>
      </c>
      <c r="AD1534" s="663" t="s">
        <v>4950</v>
      </c>
      <c r="AE1534" s="663" t="s">
        <v>4931</v>
      </c>
      <c r="AF1534" s="663" t="s">
        <v>4929</v>
      </c>
    </row>
    <row r="1535" spans="1:32" s="608" customFormat="1" x14ac:dyDescent="0.25">
      <c r="A1535" s="624"/>
      <c r="B1535" s="617">
        <v>39061022601</v>
      </c>
      <c r="C1535" s="617" t="s">
        <v>3203</v>
      </c>
      <c r="D1535" s="617" t="s">
        <v>55</v>
      </c>
      <c r="E1535" s="617" t="s">
        <v>4850</v>
      </c>
      <c r="F1535" s="617" t="s">
        <v>26</v>
      </c>
      <c r="G1535" s="624"/>
      <c r="O1535" s="616"/>
      <c r="P1535" s="616"/>
      <c r="Q1535" s="616"/>
      <c r="AA1535" s="624"/>
      <c r="AB1535" s="663">
        <v>39065000200</v>
      </c>
      <c r="AC1535" s="663" t="s">
        <v>6467</v>
      </c>
      <c r="AD1535" s="663" t="s">
        <v>4927</v>
      </c>
      <c r="AE1535" s="663" t="s">
        <v>4942</v>
      </c>
      <c r="AF1535" s="663" t="s">
        <v>4929</v>
      </c>
    </row>
    <row r="1536" spans="1:32" s="608" customFormat="1" x14ac:dyDescent="0.25">
      <c r="A1536" s="624"/>
      <c r="B1536" s="617">
        <v>39061022602</v>
      </c>
      <c r="C1536" s="617" t="s">
        <v>3204</v>
      </c>
      <c r="D1536" s="617" t="s">
        <v>55</v>
      </c>
      <c r="E1536" s="617" t="s">
        <v>4850</v>
      </c>
      <c r="F1536" s="617" t="s">
        <v>26</v>
      </c>
      <c r="G1536" s="624"/>
      <c r="O1536" s="616"/>
      <c r="P1536" s="616"/>
      <c r="Q1536" s="616"/>
      <c r="AA1536" s="624"/>
      <c r="AB1536" s="663">
        <v>39065000300</v>
      </c>
      <c r="AC1536" s="663" t="s">
        <v>6468</v>
      </c>
      <c r="AD1536" s="663" t="s">
        <v>4950</v>
      </c>
      <c r="AE1536" s="663" t="s">
        <v>4934</v>
      </c>
      <c r="AF1536" s="663" t="s">
        <v>4929</v>
      </c>
    </row>
    <row r="1537" spans="1:32" s="608" customFormat="1" x14ac:dyDescent="0.25">
      <c r="A1537" s="624"/>
      <c r="B1537" s="617">
        <v>39061022700</v>
      </c>
      <c r="C1537" s="617" t="s">
        <v>3205</v>
      </c>
      <c r="D1537" s="617" t="s">
        <v>55</v>
      </c>
      <c r="E1537" s="617" t="s">
        <v>4850</v>
      </c>
      <c r="F1537" s="617" t="s">
        <v>24</v>
      </c>
      <c r="G1537" s="624"/>
      <c r="O1537" s="616"/>
      <c r="P1537" s="616"/>
      <c r="Q1537" s="616"/>
      <c r="AA1537" s="624"/>
      <c r="AB1537" s="663">
        <v>39065000400</v>
      </c>
      <c r="AC1537" s="663" t="s">
        <v>6469</v>
      </c>
      <c r="AD1537" s="663" t="s">
        <v>4941</v>
      </c>
      <c r="AE1537" s="663" t="s">
        <v>4939</v>
      </c>
      <c r="AF1537" s="663" t="s">
        <v>4929</v>
      </c>
    </row>
    <row r="1538" spans="1:32" s="608" customFormat="1" x14ac:dyDescent="0.25">
      <c r="A1538" s="624"/>
      <c r="B1538" s="617">
        <v>39061023001</v>
      </c>
      <c r="C1538" s="617" t="s">
        <v>3206</v>
      </c>
      <c r="D1538" s="617" t="s">
        <v>55</v>
      </c>
      <c r="E1538" s="617" t="s">
        <v>4850</v>
      </c>
      <c r="F1538" s="617" t="s">
        <v>26</v>
      </c>
      <c r="G1538" s="624"/>
      <c r="O1538" s="616"/>
      <c r="P1538" s="616"/>
      <c r="Q1538" s="616"/>
      <c r="AA1538" s="624"/>
      <c r="AB1538" s="663">
        <v>39065000500</v>
      </c>
      <c r="AC1538" s="663" t="s">
        <v>6470</v>
      </c>
      <c r="AD1538" s="663" t="s">
        <v>4927</v>
      </c>
      <c r="AE1538" s="663" t="s">
        <v>4942</v>
      </c>
      <c r="AF1538" s="663" t="s">
        <v>4929</v>
      </c>
    </row>
    <row r="1539" spans="1:32" s="608" customFormat="1" x14ac:dyDescent="0.25">
      <c r="A1539" s="624"/>
      <c r="B1539" s="617">
        <v>39061023002</v>
      </c>
      <c r="C1539" s="617" t="s">
        <v>3207</v>
      </c>
      <c r="D1539" s="617" t="s">
        <v>55</v>
      </c>
      <c r="E1539" s="617" t="s">
        <v>4850</v>
      </c>
      <c r="F1539" s="617" t="s">
        <v>26</v>
      </c>
      <c r="G1539" s="624"/>
      <c r="O1539" s="616"/>
      <c r="P1539" s="616"/>
      <c r="Q1539" s="616"/>
      <c r="AA1539" s="624"/>
      <c r="AB1539" s="663">
        <v>39065000600</v>
      </c>
      <c r="AC1539" s="663" t="s">
        <v>6471</v>
      </c>
      <c r="AD1539" s="663" t="s">
        <v>4927</v>
      </c>
      <c r="AE1539" s="663" t="s">
        <v>4942</v>
      </c>
      <c r="AF1539" s="663" t="s">
        <v>4929</v>
      </c>
    </row>
    <row r="1540" spans="1:32" s="608" customFormat="1" x14ac:dyDescent="0.25">
      <c r="A1540" s="624"/>
      <c r="B1540" s="617">
        <v>39061023100</v>
      </c>
      <c r="C1540" s="617" t="s">
        <v>3208</v>
      </c>
      <c r="D1540" s="617" t="s">
        <v>55</v>
      </c>
      <c r="E1540" s="617" t="s">
        <v>4850</v>
      </c>
      <c r="F1540" s="617" t="s">
        <v>26</v>
      </c>
      <c r="G1540" s="624"/>
      <c r="O1540" s="616"/>
      <c r="P1540" s="616"/>
      <c r="Q1540" s="616"/>
      <c r="AA1540" s="624"/>
      <c r="AB1540" s="663">
        <v>39065000700</v>
      </c>
      <c r="AC1540" s="663" t="s">
        <v>6472</v>
      </c>
      <c r="AD1540" s="663" t="s">
        <v>4950</v>
      </c>
      <c r="AE1540" s="663" t="s">
        <v>4931</v>
      </c>
      <c r="AF1540" s="663" t="s">
        <v>4929</v>
      </c>
    </row>
    <row r="1541" spans="1:32" s="608" customFormat="1" x14ac:dyDescent="0.25">
      <c r="A1541" s="624"/>
      <c r="B1541" s="617">
        <v>39061023201</v>
      </c>
      <c r="C1541" s="617" t="s">
        <v>3209</v>
      </c>
      <c r="D1541" s="617" t="s">
        <v>55</v>
      </c>
      <c r="E1541" s="617" t="s">
        <v>4850</v>
      </c>
      <c r="F1541" s="617" t="s">
        <v>24</v>
      </c>
      <c r="G1541" s="624"/>
      <c r="O1541" s="616"/>
      <c r="P1541" s="616"/>
      <c r="Q1541" s="616"/>
      <c r="AA1541" s="624"/>
      <c r="AB1541" s="663">
        <v>39067975600</v>
      </c>
      <c r="AC1541" s="663" t="s">
        <v>6473</v>
      </c>
      <c r="AD1541" s="663" t="s">
        <v>4927</v>
      </c>
      <c r="AE1541" s="663" t="s">
        <v>4928</v>
      </c>
      <c r="AF1541" s="663" t="s">
        <v>4929</v>
      </c>
    </row>
    <row r="1542" spans="1:32" s="608" customFormat="1" x14ac:dyDescent="0.25">
      <c r="A1542" s="624"/>
      <c r="B1542" s="617">
        <v>39061023210</v>
      </c>
      <c r="C1542" s="617" t="s">
        <v>3210</v>
      </c>
      <c r="D1542" s="617" t="s">
        <v>55</v>
      </c>
      <c r="E1542" s="617" t="s">
        <v>4850</v>
      </c>
      <c r="F1542" s="617" t="s">
        <v>26</v>
      </c>
      <c r="G1542" s="624"/>
      <c r="O1542" s="616"/>
      <c r="P1542" s="616"/>
      <c r="Q1542" s="616"/>
      <c r="AA1542" s="624"/>
      <c r="AB1542" s="663">
        <v>39067975700</v>
      </c>
      <c r="AC1542" s="663" t="s">
        <v>6474</v>
      </c>
      <c r="AD1542" s="663" t="s">
        <v>4927</v>
      </c>
      <c r="AE1542" s="663" t="s">
        <v>4931</v>
      </c>
      <c r="AF1542" s="663" t="s">
        <v>4929</v>
      </c>
    </row>
    <row r="1543" spans="1:32" s="608" customFormat="1" x14ac:dyDescent="0.25">
      <c r="A1543" s="624"/>
      <c r="B1543" s="617">
        <v>39061023222</v>
      </c>
      <c r="C1543" s="617" t="s">
        <v>3211</v>
      </c>
      <c r="D1543" s="617" t="s">
        <v>55</v>
      </c>
      <c r="E1543" s="617" t="s">
        <v>4850</v>
      </c>
      <c r="F1543" s="617" t="s">
        <v>26</v>
      </c>
      <c r="G1543" s="624"/>
      <c r="O1543" s="616"/>
      <c r="P1543" s="616"/>
      <c r="Q1543" s="616"/>
      <c r="AA1543" s="624"/>
      <c r="AB1543" s="663">
        <v>39067975800</v>
      </c>
      <c r="AC1543" s="663" t="s">
        <v>6475</v>
      </c>
      <c r="AD1543" s="663" t="s">
        <v>4927</v>
      </c>
      <c r="AE1543" s="663" t="s">
        <v>4939</v>
      </c>
      <c r="AF1543" s="663" t="s">
        <v>4929</v>
      </c>
    </row>
    <row r="1544" spans="1:32" s="608" customFormat="1" x14ac:dyDescent="0.25">
      <c r="A1544" s="624"/>
      <c r="B1544" s="617">
        <v>39061023300</v>
      </c>
      <c r="C1544" s="617" t="s">
        <v>3212</v>
      </c>
      <c r="D1544" s="617" t="s">
        <v>55</v>
      </c>
      <c r="E1544" s="617" t="s">
        <v>4850</v>
      </c>
      <c r="F1544" s="617" t="s">
        <v>26</v>
      </c>
      <c r="G1544" s="624"/>
      <c r="O1544" s="616"/>
      <c r="P1544" s="616"/>
      <c r="Q1544" s="616"/>
      <c r="AA1544" s="624"/>
      <c r="AB1544" s="663">
        <v>39067975900</v>
      </c>
      <c r="AC1544" s="663" t="s">
        <v>6476</v>
      </c>
      <c r="AD1544" s="663" t="s">
        <v>4950</v>
      </c>
      <c r="AE1544" s="663" t="s">
        <v>4931</v>
      </c>
      <c r="AF1544" s="663" t="s">
        <v>4929</v>
      </c>
    </row>
    <row r="1545" spans="1:32" s="608" customFormat="1" x14ac:dyDescent="0.25">
      <c r="A1545" s="624"/>
      <c r="B1545" s="617">
        <v>39061023400</v>
      </c>
      <c r="C1545" s="617" t="s">
        <v>3213</v>
      </c>
      <c r="D1545" s="617" t="s">
        <v>55</v>
      </c>
      <c r="E1545" s="617" t="s">
        <v>4850</v>
      </c>
      <c r="F1545" s="617" t="s">
        <v>26</v>
      </c>
      <c r="G1545" s="624"/>
      <c r="O1545" s="616"/>
      <c r="P1545" s="616"/>
      <c r="Q1545" s="616"/>
      <c r="AA1545" s="624"/>
      <c r="AB1545" s="663">
        <v>39067976000</v>
      </c>
      <c r="AC1545" s="663" t="s">
        <v>6477</v>
      </c>
      <c r="AD1545" s="663" t="s">
        <v>4927</v>
      </c>
      <c r="AE1545" s="663" t="s">
        <v>4934</v>
      </c>
      <c r="AF1545" s="663" t="s">
        <v>4929</v>
      </c>
    </row>
    <row r="1546" spans="1:32" s="608" customFormat="1" x14ac:dyDescent="0.25">
      <c r="A1546" s="624"/>
      <c r="B1546" s="617">
        <v>39061023501</v>
      </c>
      <c r="C1546" s="617" t="s">
        <v>3214</v>
      </c>
      <c r="D1546" s="617" t="s">
        <v>55</v>
      </c>
      <c r="E1546" s="617" t="s">
        <v>4850</v>
      </c>
      <c r="F1546" s="617" t="s">
        <v>26</v>
      </c>
      <c r="G1546" s="624"/>
      <c r="O1546" s="616"/>
      <c r="P1546" s="616"/>
      <c r="Q1546" s="616"/>
      <c r="AA1546" s="624"/>
      <c r="AB1546" s="663">
        <v>39069000100</v>
      </c>
      <c r="AC1546" s="663" t="s">
        <v>6478</v>
      </c>
      <c r="AD1546" s="663" t="s">
        <v>4941</v>
      </c>
      <c r="AE1546" s="663" t="s">
        <v>4942</v>
      </c>
      <c r="AF1546" s="663" t="s">
        <v>4929</v>
      </c>
    </row>
    <row r="1547" spans="1:32" s="608" customFormat="1" x14ac:dyDescent="0.25">
      <c r="A1547" s="624"/>
      <c r="B1547" s="617">
        <v>39061023521</v>
      </c>
      <c r="C1547" s="617" t="s">
        <v>3215</v>
      </c>
      <c r="D1547" s="617" t="s">
        <v>55</v>
      </c>
      <c r="E1547" s="617" t="s">
        <v>4850</v>
      </c>
      <c r="F1547" s="617" t="s">
        <v>26</v>
      </c>
      <c r="G1547" s="624"/>
      <c r="O1547" s="616"/>
      <c r="P1547" s="616"/>
      <c r="Q1547" s="616"/>
      <c r="AA1547" s="624"/>
      <c r="AB1547" s="663">
        <v>39069000200</v>
      </c>
      <c r="AC1547" s="663" t="s">
        <v>6479</v>
      </c>
      <c r="AD1547" s="663" t="s">
        <v>4938</v>
      </c>
      <c r="AE1547" s="663" t="s">
        <v>4939</v>
      </c>
      <c r="AF1547" s="663" t="s">
        <v>4929</v>
      </c>
    </row>
    <row r="1548" spans="1:32" s="608" customFormat="1" x14ac:dyDescent="0.25">
      <c r="A1548" s="624"/>
      <c r="B1548" s="617">
        <v>39061023522</v>
      </c>
      <c r="C1548" s="617" t="s">
        <v>3216</v>
      </c>
      <c r="D1548" s="617" t="s">
        <v>55</v>
      </c>
      <c r="E1548" s="617" t="s">
        <v>4850</v>
      </c>
      <c r="F1548" s="617" t="s">
        <v>26</v>
      </c>
      <c r="G1548" s="624"/>
      <c r="O1548" s="616"/>
      <c r="P1548" s="616"/>
      <c r="Q1548" s="616"/>
      <c r="AA1548" s="624"/>
      <c r="AB1548" s="663">
        <v>39069000300</v>
      </c>
      <c r="AC1548" s="663" t="s">
        <v>6480</v>
      </c>
      <c r="AD1548" s="663" t="s">
        <v>4941</v>
      </c>
      <c r="AE1548" s="663" t="s">
        <v>4928</v>
      </c>
      <c r="AF1548" s="663" t="s">
        <v>4929</v>
      </c>
    </row>
    <row r="1549" spans="1:32" s="608" customFormat="1" x14ac:dyDescent="0.25">
      <c r="A1549" s="624"/>
      <c r="B1549" s="617">
        <v>39061023600</v>
      </c>
      <c r="C1549" s="617" t="s">
        <v>3217</v>
      </c>
      <c r="D1549" s="617" t="s">
        <v>55</v>
      </c>
      <c r="E1549" s="617" t="s">
        <v>4850</v>
      </c>
      <c r="F1549" s="617" t="s">
        <v>26</v>
      </c>
      <c r="G1549" s="624"/>
      <c r="O1549" s="616"/>
      <c r="P1549" s="616"/>
      <c r="Q1549" s="616"/>
      <c r="AA1549" s="624"/>
      <c r="AB1549" s="663">
        <v>39069000400</v>
      </c>
      <c r="AC1549" s="663" t="s">
        <v>6481</v>
      </c>
      <c r="AD1549" s="663" t="s">
        <v>4941</v>
      </c>
      <c r="AE1549" s="663" t="s">
        <v>4928</v>
      </c>
      <c r="AF1549" s="663" t="s">
        <v>4929</v>
      </c>
    </row>
    <row r="1550" spans="1:32" s="608" customFormat="1" x14ac:dyDescent="0.25">
      <c r="A1550" s="624"/>
      <c r="B1550" s="617">
        <v>39061023701</v>
      </c>
      <c r="C1550" s="617" t="s">
        <v>3218</v>
      </c>
      <c r="D1550" s="617" t="s">
        <v>55</v>
      </c>
      <c r="E1550" s="617" t="s">
        <v>4850</v>
      </c>
      <c r="F1550" s="617" t="s">
        <v>26</v>
      </c>
      <c r="G1550" s="624"/>
      <c r="O1550" s="616"/>
      <c r="P1550" s="616"/>
      <c r="Q1550" s="616"/>
      <c r="AA1550" s="624"/>
      <c r="AB1550" s="663">
        <v>39069000500</v>
      </c>
      <c r="AC1550" s="663" t="s">
        <v>6482</v>
      </c>
      <c r="AD1550" s="663" t="s">
        <v>4941</v>
      </c>
      <c r="AE1550" s="663" t="s">
        <v>4931</v>
      </c>
      <c r="AF1550" s="663" t="s">
        <v>4929</v>
      </c>
    </row>
    <row r="1551" spans="1:32" s="608" customFormat="1" x14ac:dyDescent="0.25">
      <c r="A1551" s="624"/>
      <c r="B1551" s="617">
        <v>39061023702</v>
      </c>
      <c r="C1551" s="617" t="s">
        <v>3219</v>
      </c>
      <c r="D1551" s="617" t="s">
        <v>55</v>
      </c>
      <c r="E1551" s="617" t="s">
        <v>4850</v>
      </c>
      <c r="F1551" s="617" t="s">
        <v>26</v>
      </c>
      <c r="G1551" s="624"/>
      <c r="O1551" s="616"/>
      <c r="P1551" s="616"/>
      <c r="Q1551" s="616"/>
      <c r="AA1551" s="624"/>
      <c r="AB1551" s="663">
        <v>39069000600</v>
      </c>
      <c r="AC1551" s="663" t="s">
        <v>6483</v>
      </c>
      <c r="AD1551" s="663" t="s">
        <v>4948</v>
      </c>
      <c r="AE1551" s="663" t="s">
        <v>4934</v>
      </c>
      <c r="AF1551" s="663" t="s">
        <v>4929</v>
      </c>
    </row>
    <row r="1552" spans="1:32" s="608" customFormat="1" x14ac:dyDescent="0.25">
      <c r="A1552" s="624"/>
      <c r="B1552" s="617">
        <v>39061023800</v>
      </c>
      <c r="C1552" s="617" t="s">
        <v>3220</v>
      </c>
      <c r="D1552" s="617" t="s">
        <v>55</v>
      </c>
      <c r="E1552" s="617" t="s">
        <v>4850</v>
      </c>
      <c r="F1552" s="617" t="s">
        <v>26</v>
      </c>
      <c r="G1552" s="624"/>
      <c r="O1552" s="616"/>
      <c r="P1552" s="616"/>
      <c r="Q1552" s="616"/>
      <c r="AA1552" s="624"/>
      <c r="AB1552" s="663">
        <v>39069000700</v>
      </c>
      <c r="AC1552" s="663" t="s">
        <v>6484</v>
      </c>
      <c r="AD1552" s="663" t="s">
        <v>4938</v>
      </c>
      <c r="AE1552" s="663" t="s">
        <v>4942</v>
      </c>
      <c r="AF1552" s="663" t="s">
        <v>4929</v>
      </c>
    </row>
    <row r="1553" spans="1:32" s="608" customFormat="1" x14ac:dyDescent="0.25">
      <c r="A1553" s="624"/>
      <c r="B1553" s="617">
        <v>39061023901</v>
      </c>
      <c r="C1553" s="617" t="s">
        <v>3221</v>
      </c>
      <c r="D1553" s="617" t="s">
        <v>55</v>
      </c>
      <c r="E1553" s="617" t="s">
        <v>4850</v>
      </c>
      <c r="F1553" s="617" t="s">
        <v>26</v>
      </c>
      <c r="G1553" s="624"/>
      <c r="O1553" s="616"/>
      <c r="P1553" s="616"/>
      <c r="Q1553" s="616"/>
      <c r="AA1553" s="624"/>
      <c r="AB1553" s="663">
        <v>39071954400</v>
      </c>
      <c r="AC1553" s="663" t="s">
        <v>6485</v>
      </c>
      <c r="AD1553" s="663" t="s">
        <v>4927</v>
      </c>
      <c r="AE1553" s="663" t="s">
        <v>4931</v>
      </c>
      <c r="AF1553" s="663" t="s">
        <v>4929</v>
      </c>
    </row>
    <row r="1554" spans="1:32" s="608" customFormat="1" x14ac:dyDescent="0.25">
      <c r="A1554" s="624"/>
      <c r="B1554" s="617">
        <v>39061023902</v>
      </c>
      <c r="C1554" s="617" t="s">
        <v>3222</v>
      </c>
      <c r="D1554" s="617" t="s">
        <v>55</v>
      </c>
      <c r="E1554" s="617" t="s">
        <v>4850</v>
      </c>
      <c r="F1554" s="617" t="s">
        <v>26</v>
      </c>
      <c r="G1554" s="624"/>
      <c r="O1554" s="616"/>
      <c r="P1554" s="616"/>
      <c r="Q1554" s="616"/>
      <c r="AA1554" s="624"/>
      <c r="AB1554" s="663">
        <v>39071954500</v>
      </c>
      <c r="AC1554" s="663" t="s">
        <v>6486</v>
      </c>
      <c r="AD1554" s="663" t="s">
        <v>4927</v>
      </c>
      <c r="AE1554" s="663" t="s">
        <v>4942</v>
      </c>
      <c r="AF1554" s="663" t="s">
        <v>4929</v>
      </c>
    </row>
    <row r="1555" spans="1:32" s="608" customFormat="1" x14ac:dyDescent="0.25">
      <c r="A1555" s="624"/>
      <c r="B1555" s="617">
        <v>39061024001</v>
      </c>
      <c r="C1555" s="617" t="s">
        <v>3223</v>
      </c>
      <c r="D1555" s="617" t="s">
        <v>55</v>
      </c>
      <c r="E1555" s="617" t="s">
        <v>4850</v>
      </c>
      <c r="F1555" s="617" t="s">
        <v>26</v>
      </c>
      <c r="G1555" s="624"/>
      <c r="O1555" s="616"/>
      <c r="P1555" s="616"/>
      <c r="Q1555" s="616"/>
      <c r="AA1555" s="624"/>
      <c r="AB1555" s="663">
        <v>39071954600</v>
      </c>
      <c r="AC1555" s="663" t="s">
        <v>6487</v>
      </c>
      <c r="AD1555" s="663" t="s">
        <v>4948</v>
      </c>
      <c r="AE1555" s="663" t="s">
        <v>4931</v>
      </c>
      <c r="AF1555" s="663" t="s">
        <v>4929</v>
      </c>
    </row>
    <row r="1556" spans="1:32" s="608" customFormat="1" x14ac:dyDescent="0.25">
      <c r="A1556" s="624"/>
      <c r="B1556" s="617">
        <v>39061024002</v>
      </c>
      <c r="C1556" s="617" t="s">
        <v>3224</v>
      </c>
      <c r="D1556" s="617" t="s">
        <v>55</v>
      </c>
      <c r="E1556" s="617" t="s">
        <v>4850</v>
      </c>
      <c r="F1556" s="617" t="s">
        <v>26</v>
      </c>
      <c r="G1556" s="624"/>
      <c r="O1556" s="616"/>
      <c r="P1556" s="616"/>
      <c r="Q1556" s="616"/>
      <c r="AA1556" s="624"/>
      <c r="AB1556" s="663">
        <v>39071954700</v>
      </c>
      <c r="AC1556" s="663" t="s">
        <v>6488</v>
      </c>
      <c r="AD1556" s="663" t="s">
        <v>4948</v>
      </c>
      <c r="AE1556" s="663" t="s">
        <v>4942</v>
      </c>
      <c r="AF1556" s="663" t="s">
        <v>4929</v>
      </c>
    </row>
    <row r="1557" spans="1:32" s="608" customFormat="1" x14ac:dyDescent="0.25">
      <c r="A1557" s="624"/>
      <c r="B1557" s="617">
        <v>39061024100</v>
      </c>
      <c r="C1557" s="617" t="s">
        <v>3225</v>
      </c>
      <c r="D1557" s="617" t="s">
        <v>55</v>
      </c>
      <c r="E1557" s="617" t="s">
        <v>4850</v>
      </c>
      <c r="F1557" s="617" t="s">
        <v>26</v>
      </c>
      <c r="G1557" s="624"/>
      <c r="O1557" s="616"/>
      <c r="P1557" s="616"/>
      <c r="Q1557" s="616"/>
      <c r="AA1557" s="624"/>
      <c r="AB1557" s="663">
        <v>39071954800</v>
      </c>
      <c r="AC1557" s="663" t="s">
        <v>6489</v>
      </c>
      <c r="AD1557" s="663" t="s">
        <v>4950</v>
      </c>
      <c r="AE1557" s="663" t="s">
        <v>4928</v>
      </c>
      <c r="AF1557" s="663" t="s">
        <v>4929</v>
      </c>
    </row>
    <row r="1558" spans="1:32" s="608" customFormat="1" x14ac:dyDescent="0.25">
      <c r="A1558" s="624"/>
      <c r="B1558" s="617">
        <v>39061024200</v>
      </c>
      <c r="C1558" s="617" t="s">
        <v>3226</v>
      </c>
      <c r="D1558" s="617" t="s">
        <v>55</v>
      </c>
      <c r="E1558" s="617" t="s">
        <v>4850</v>
      </c>
      <c r="F1558" s="617" t="s">
        <v>26</v>
      </c>
      <c r="G1558" s="624"/>
      <c r="O1558" s="616"/>
      <c r="P1558" s="616"/>
      <c r="Q1558" s="616"/>
      <c r="AA1558" s="624"/>
      <c r="AB1558" s="663">
        <v>39071954900</v>
      </c>
      <c r="AC1558" s="663" t="s">
        <v>6490</v>
      </c>
      <c r="AD1558" s="663" t="s">
        <v>4948</v>
      </c>
      <c r="AE1558" s="663" t="s">
        <v>4939</v>
      </c>
      <c r="AF1558" s="663" t="s">
        <v>4929</v>
      </c>
    </row>
    <row r="1559" spans="1:32" s="608" customFormat="1" x14ac:dyDescent="0.25">
      <c r="A1559" s="624"/>
      <c r="B1559" s="617">
        <v>39061024301</v>
      </c>
      <c r="C1559" s="617" t="s">
        <v>3227</v>
      </c>
      <c r="D1559" s="617" t="s">
        <v>55</v>
      </c>
      <c r="E1559" s="617" t="s">
        <v>4850</v>
      </c>
      <c r="F1559" s="617" t="s">
        <v>26</v>
      </c>
      <c r="G1559" s="624"/>
      <c r="O1559" s="616"/>
      <c r="P1559" s="616"/>
      <c r="Q1559" s="616"/>
      <c r="AA1559" s="624"/>
      <c r="AB1559" s="663">
        <v>39071955000</v>
      </c>
      <c r="AC1559" s="663" t="s">
        <v>6491</v>
      </c>
      <c r="AD1559" s="663" t="s">
        <v>4927</v>
      </c>
      <c r="AE1559" s="663" t="s">
        <v>4928</v>
      </c>
      <c r="AF1559" s="663" t="s">
        <v>4929</v>
      </c>
    </row>
    <row r="1560" spans="1:32" s="608" customFormat="1" x14ac:dyDescent="0.25">
      <c r="A1560" s="624"/>
      <c r="B1560" s="617">
        <v>39061024303</v>
      </c>
      <c r="C1560" s="617" t="s">
        <v>3228</v>
      </c>
      <c r="D1560" s="617" t="s">
        <v>55</v>
      </c>
      <c r="E1560" s="617" t="s">
        <v>4850</v>
      </c>
      <c r="F1560" s="617" t="s">
        <v>26</v>
      </c>
      <c r="G1560" s="624"/>
      <c r="O1560" s="616"/>
      <c r="P1560" s="616"/>
      <c r="Q1560" s="616"/>
      <c r="AA1560" s="624"/>
      <c r="AB1560" s="663">
        <v>39071955100</v>
      </c>
      <c r="AC1560" s="663" t="s">
        <v>6492</v>
      </c>
      <c r="AD1560" s="663" t="s">
        <v>4950</v>
      </c>
      <c r="AE1560" s="663" t="s">
        <v>4928</v>
      </c>
      <c r="AF1560" s="663" t="s">
        <v>4929</v>
      </c>
    </row>
    <row r="1561" spans="1:32" s="608" customFormat="1" x14ac:dyDescent="0.25">
      <c r="A1561" s="624"/>
      <c r="B1561" s="617">
        <v>39061024322</v>
      </c>
      <c r="C1561" s="617" t="s">
        <v>3229</v>
      </c>
      <c r="D1561" s="617" t="s">
        <v>55</v>
      </c>
      <c r="E1561" s="617" t="s">
        <v>4850</v>
      </c>
      <c r="F1561" s="617" t="s">
        <v>26</v>
      </c>
      <c r="G1561" s="624"/>
      <c r="O1561" s="616"/>
      <c r="P1561" s="616"/>
      <c r="Q1561" s="616"/>
      <c r="AA1561" s="624"/>
      <c r="AB1561" s="663">
        <v>39071955200</v>
      </c>
      <c r="AC1561" s="663" t="s">
        <v>6493</v>
      </c>
      <c r="AD1561" s="663" t="s">
        <v>4950</v>
      </c>
      <c r="AE1561" s="663" t="s">
        <v>4942</v>
      </c>
      <c r="AF1561" s="663" t="s">
        <v>4929</v>
      </c>
    </row>
    <row r="1562" spans="1:32" s="608" customFormat="1" x14ac:dyDescent="0.25">
      <c r="A1562" s="624"/>
      <c r="B1562" s="617">
        <v>39061024323</v>
      </c>
      <c r="C1562" s="617" t="s">
        <v>3230</v>
      </c>
      <c r="D1562" s="617" t="s">
        <v>55</v>
      </c>
      <c r="E1562" s="617" t="s">
        <v>4850</v>
      </c>
      <c r="F1562" s="617" t="s">
        <v>26</v>
      </c>
      <c r="G1562" s="624"/>
      <c r="O1562" s="616"/>
      <c r="P1562" s="616"/>
      <c r="Q1562" s="616"/>
      <c r="AA1562" s="624"/>
      <c r="AB1562" s="663">
        <v>39073964900</v>
      </c>
      <c r="AC1562" s="663" t="s">
        <v>6494</v>
      </c>
      <c r="AD1562" s="663" t="s">
        <v>4950</v>
      </c>
      <c r="AE1562" s="663" t="s">
        <v>4934</v>
      </c>
      <c r="AF1562" s="663" t="s">
        <v>4929</v>
      </c>
    </row>
    <row r="1563" spans="1:32" s="608" customFormat="1" x14ac:dyDescent="0.25">
      <c r="A1563" s="624"/>
      <c r="B1563" s="617">
        <v>39061024324</v>
      </c>
      <c r="C1563" s="617" t="s">
        <v>3231</v>
      </c>
      <c r="D1563" s="617" t="s">
        <v>55</v>
      </c>
      <c r="E1563" s="617" t="s">
        <v>4850</v>
      </c>
      <c r="F1563" s="617" t="s">
        <v>26</v>
      </c>
      <c r="G1563" s="624"/>
      <c r="O1563" s="616"/>
      <c r="P1563" s="616"/>
      <c r="Q1563" s="616"/>
      <c r="AA1563" s="624"/>
      <c r="AB1563" s="663">
        <v>39073965000</v>
      </c>
      <c r="AC1563" s="663" t="s">
        <v>6495</v>
      </c>
      <c r="AD1563" s="663" t="s">
        <v>4927</v>
      </c>
      <c r="AE1563" s="663" t="s">
        <v>4928</v>
      </c>
      <c r="AF1563" s="663" t="s">
        <v>4929</v>
      </c>
    </row>
    <row r="1564" spans="1:32" s="608" customFormat="1" x14ac:dyDescent="0.25">
      <c r="A1564" s="624"/>
      <c r="B1564" s="617">
        <v>39061024401</v>
      </c>
      <c r="C1564" s="617" t="s">
        <v>3232</v>
      </c>
      <c r="D1564" s="617" t="s">
        <v>55</v>
      </c>
      <c r="E1564" s="617" t="s">
        <v>4850</v>
      </c>
      <c r="F1564" s="617" t="s">
        <v>26</v>
      </c>
      <c r="G1564" s="624"/>
      <c r="O1564" s="616"/>
      <c r="P1564" s="616"/>
      <c r="Q1564" s="616"/>
      <c r="AA1564" s="624"/>
      <c r="AB1564" s="663">
        <v>39073965100</v>
      </c>
      <c r="AC1564" s="663" t="s">
        <v>6496</v>
      </c>
      <c r="AD1564" s="663" t="s">
        <v>4950</v>
      </c>
      <c r="AE1564" s="663" t="s">
        <v>4942</v>
      </c>
      <c r="AF1564" s="663" t="s">
        <v>4929</v>
      </c>
    </row>
    <row r="1565" spans="1:32" s="608" customFormat="1" x14ac:dyDescent="0.25">
      <c r="A1565" s="624"/>
      <c r="B1565" s="617">
        <v>39061024402</v>
      </c>
      <c r="C1565" s="617" t="s">
        <v>3233</v>
      </c>
      <c r="D1565" s="617" t="s">
        <v>55</v>
      </c>
      <c r="E1565" s="617" t="s">
        <v>4850</v>
      </c>
      <c r="F1565" s="617" t="s">
        <v>26</v>
      </c>
      <c r="G1565" s="624"/>
      <c r="O1565" s="616"/>
      <c r="P1565" s="616"/>
      <c r="Q1565" s="616"/>
      <c r="AA1565" s="624"/>
      <c r="AB1565" s="663">
        <v>39073965200</v>
      </c>
      <c r="AC1565" s="663" t="s">
        <v>6497</v>
      </c>
      <c r="AD1565" s="663" t="s">
        <v>4950</v>
      </c>
      <c r="AE1565" s="663" t="s">
        <v>4931</v>
      </c>
      <c r="AF1565" s="663" t="s">
        <v>4929</v>
      </c>
    </row>
    <row r="1566" spans="1:32" s="608" customFormat="1" x14ac:dyDescent="0.25">
      <c r="A1566" s="624"/>
      <c r="B1566" s="617">
        <v>39061024700</v>
      </c>
      <c r="C1566" s="617" t="s">
        <v>3234</v>
      </c>
      <c r="D1566" s="617" t="s">
        <v>55</v>
      </c>
      <c r="E1566" s="617" t="s">
        <v>4850</v>
      </c>
      <c r="F1566" s="617" t="s">
        <v>26</v>
      </c>
      <c r="G1566" s="624"/>
      <c r="O1566" s="616"/>
      <c r="P1566" s="616"/>
      <c r="Q1566" s="616"/>
      <c r="AA1566" s="624"/>
      <c r="AB1566" s="663">
        <v>39073965300</v>
      </c>
      <c r="AC1566" s="663" t="s">
        <v>6498</v>
      </c>
      <c r="AD1566" s="663" t="s">
        <v>4927</v>
      </c>
      <c r="AE1566" s="663" t="s">
        <v>4931</v>
      </c>
      <c r="AF1566" s="663" t="s">
        <v>4929</v>
      </c>
    </row>
    <row r="1567" spans="1:32" s="608" customFormat="1" x14ac:dyDescent="0.25">
      <c r="A1567" s="624"/>
      <c r="B1567" s="617">
        <v>39061024800</v>
      </c>
      <c r="C1567" s="617" t="s">
        <v>3235</v>
      </c>
      <c r="D1567" s="617" t="s">
        <v>55</v>
      </c>
      <c r="E1567" s="617" t="s">
        <v>4850</v>
      </c>
      <c r="F1567" s="617" t="s">
        <v>26</v>
      </c>
      <c r="G1567" s="624"/>
      <c r="O1567" s="616"/>
      <c r="P1567" s="616"/>
      <c r="Q1567" s="616"/>
      <c r="AA1567" s="624"/>
      <c r="AB1567" s="663">
        <v>39073965400</v>
      </c>
      <c r="AC1567" s="663" t="s">
        <v>6499</v>
      </c>
      <c r="AD1567" s="663" t="s">
        <v>4927</v>
      </c>
      <c r="AE1567" s="663" t="s">
        <v>4942</v>
      </c>
      <c r="AF1567" s="663" t="s">
        <v>4929</v>
      </c>
    </row>
    <row r="1568" spans="1:32" s="608" customFormat="1" x14ac:dyDescent="0.25">
      <c r="A1568" s="624"/>
      <c r="B1568" s="617">
        <v>39061024901</v>
      </c>
      <c r="C1568" s="617" t="s">
        <v>3236</v>
      </c>
      <c r="D1568" s="617" t="s">
        <v>55</v>
      </c>
      <c r="E1568" s="617" t="s">
        <v>4850</v>
      </c>
      <c r="F1568" s="617" t="s">
        <v>26</v>
      </c>
      <c r="G1568" s="624"/>
      <c r="O1568" s="616"/>
      <c r="P1568" s="616"/>
      <c r="Q1568" s="616"/>
      <c r="AA1568" s="624"/>
      <c r="AB1568" s="663">
        <v>39073965500</v>
      </c>
      <c r="AC1568" s="663" t="s">
        <v>6500</v>
      </c>
      <c r="AD1568" s="663" t="s">
        <v>4927</v>
      </c>
      <c r="AE1568" s="663" t="s">
        <v>4939</v>
      </c>
      <c r="AF1568" s="663" t="s">
        <v>4929</v>
      </c>
    </row>
    <row r="1569" spans="1:32" s="608" customFormat="1" x14ac:dyDescent="0.25">
      <c r="A1569" s="624"/>
      <c r="B1569" s="617">
        <v>39061024903</v>
      </c>
      <c r="C1569" s="617" t="s">
        <v>3237</v>
      </c>
      <c r="D1569" s="617" t="s">
        <v>55</v>
      </c>
      <c r="E1569" s="617" t="s">
        <v>4850</v>
      </c>
      <c r="F1569" s="617" t="s">
        <v>26</v>
      </c>
      <c r="G1569" s="624"/>
      <c r="O1569" s="616"/>
      <c r="P1569" s="616"/>
      <c r="Q1569" s="616"/>
      <c r="AA1569" s="624"/>
      <c r="AB1569" s="663">
        <v>39075976301</v>
      </c>
      <c r="AC1569" s="663" t="s">
        <v>6501</v>
      </c>
      <c r="AD1569" s="663" t="s">
        <v>4938</v>
      </c>
      <c r="AE1569" s="663" t="s">
        <v>4939</v>
      </c>
      <c r="AF1569" s="663" t="s">
        <v>4929</v>
      </c>
    </row>
    <row r="1570" spans="1:32" s="608" customFormat="1" x14ac:dyDescent="0.25">
      <c r="A1570" s="624"/>
      <c r="B1570" s="617">
        <v>39061024904</v>
      </c>
      <c r="C1570" s="617" t="s">
        <v>3238</v>
      </c>
      <c r="D1570" s="617" t="s">
        <v>55</v>
      </c>
      <c r="E1570" s="617" t="s">
        <v>4850</v>
      </c>
      <c r="F1570" s="617" t="s">
        <v>26</v>
      </c>
      <c r="G1570" s="624"/>
      <c r="O1570" s="616"/>
      <c r="P1570" s="616"/>
      <c r="Q1570" s="616"/>
      <c r="AA1570" s="624"/>
      <c r="AB1570" s="663">
        <v>39075976302</v>
      </c>
      <c r="AC1570" s="663" t="s">
        <v>6502</v>
      </c>
      <c r="AD1570" s="663" t="s">
        <v>4938</v>
      </c>
      <c r="AE1570" s="663" t="s">
        <v>4939</v>
      </c>
      <c r="AF1570" s="663" t="s">
        <v>4929</v>
      </c>
    </row>
    <row r="1571" spans="1:32" s="608" customFormat="1" x14ac:dyDescent="0.25">
      <c r="A1571" s="624"/>
      <c r="B1571" s="617">
        <v>39061025001</v>
      </c>
      <c r="C1571" s="617" t="s">
        <v>3239</v>
      </c>
      <c r="D1571" s="617" t="s">
        <v>55</v>
      </c>
      <c r="E1571" s="617" t="s">
        <v>4850</v>
      </c>
      <c r="F1571" s="617" t="s">
        <v>26</v>
      </c>
      <c r="G1571" s="624"/>
      <c r="O1571" s="616"/>
      <c r="P1571" s="616"/>
      <c r="Q1571" s="616"/>
      <c r="AA1571" s="624"/>
      <c r="AB1571" s="663">
        <v>39075976400</v>
      </c>
      <c r="AC1571" s="663" t="s">
        <v>6503</v>
      </c>
      <c r="AD1571" s="663" t="s">
        <v>4941</v>
      </c>
      <c r="AE1571" s="663" t="s">
        <v>4939</v>
      </c>
      <c r="AF1571" s="663" t="s">
        <v>4929</v>
      </c>
    </row>
    <row r="1572" spans="1:32" s="608" customFormat="1" x14ac:dyDescent="0.25">
      <c r="A1572" s="624"/>
      <c r="B1572" s="617">
        <v>39061025002</v>
      </c>
      <c r="C1572" s="617" t="s">
        <v>3240</v>
      </c>
      <c r="D1572" s="617" t="s">
        <v>55</v>
      </c>
      <c r="E1572" s="617" t="s">
        <v>4850</v>
      </c>
      <c r="F1572" s="617" t="s">
        <v>26</v>
      </c>
      <c r="G1572" s="624"/>
      <c r="O1572" s="616"/>
      <c r="P1572" s="616"/>
      <c r="Q1572" s="616"/>
      <c r="AA1572" s="624"/>
      <c r="AB1572" s="663">
        <v>39075976500</v>
      </c>
      <c r="AC1572" s="663" t="s">
        <v>6504</v>
      </c>
      <c r="AD1572" s="663" t="s">
        <v>4950</v>
      </c>
      <c r="AE1572" s="663" t="s">
        <v>4942</v>
      </c>
      <c r="AF1572" s="663" t="s">
        <v>4929</v>
      </c>
    </row>
    <row r="1573" spans="1:32" s="608" customFormat="1" x14ac:dyDescent="0.25">
      <c r="A1573" s="624"/>
      <c r="B1573" s="617">
        <v>39061025101</v>
      </c>
      <c r="C1573" s="617" t="s">
        <v>3241</v>
      </c>
      <c r="D1573" s="617" t="s">
        <v>55</v>
      </c>
      <c r="E1573" s="617" t="s">
        <v>4850</v>
      </c>
      <c r="F1573" s="617" t="s">
        <v>26</v>
      </c>
      <c r="G1573" s="624"/>
      <c r="O1573" s="616"/>
      <c r="P1573" s="616"/>
      <c r="Q1573" s="616"/>
      <c r="AA1573" s="624"/>
      <c r="AB1573" s="663">
        <v>39075976600</v>
      </c>
      <c r="AC1573" s="663" t="s">
        <v>6505</v>
      </c>
      <c r="AD1573" s="663" t="s">
        <v>4950</v>
      </c>
      <c r="AE1573" s="663" t="s">
        <v>4934</v>
      </c>
      <c r="AF1573" s="663" t="s">
        <v>4929</v>
      </c>
    </row>
    <row r="1574" spans="1:32" s="608" customFormat="1" x14ac:dyDescent="0.25">
      <c r="A1574" s="624"/>
      <c r="B1574" s="617">
        <v>39061025102</v>
      </c>
      <c r="C1574" s="617" t="s">
        <v>3242</v>
      </c>
      <c r="D1574" s="617" t="s">
        <v>55</v>
      </c>
      <c r="E1574" s="617" t="s">
        <v>4850</v>
      </c>
      <c r="F1574" s="617" t="s">
        <v>26</v>
      </c>
      <c r="G1574" s="624"/>
      <c r="O1574" s="616"/>
      <c r="P1574" s="616"/>
      <c r="Q1574" s="616"/>
      <c r="AA1574" s="624"/>
      <c r="AB1574" s="663">
        <v>39075976700</v>
      </c>
      <c r="AC1574" s="663" t="s">
        <v>6506</v>
      </c>
      <c r="AD1574" s="663" t="s">
        <v>4948</v>
      </c>
      <c r="AE1574" s="663" t="s">
        <v>4939</v>
      </c>
      <c r="AF1574" s="663" t="s">
        <v>4929</v>
      </c>
    </row>
    <row r="1575" spans="1:32" s="608" customFormat="1" x14ac:dyDescent="0.25">
      <c r="A1575" s="624"/>
      <c r="B1575" s="617">
        <v>39061025103</v>
      </c>
      <c r="C1575" s="617" t="s">
        <v>3243</v>
      </c>
      <c r="D1575" s="617" t="s">
        <v>55</v>
      </c>
      <c r="E1575" s="617" t="s">
        <v>4850</v>
      </c>
      <c r="F1575" s="617" t="s">
        <v>26</v>
      </c>
      <c r="G1575" s="624"/>
      <c r="O1575" s="616"/>
      <c r="P1575" s="616"/>
      <c r="Q1575" s="616"/>
      <c r="AA1575" s="624"/>
      <c r="AB1575" s="663">
        <v>39075976801</v>
      </c>
      <c r="AC1575" s="663" t="s">
        <v>6507</v>
      </c>
      <c r="AD1575" s="663" t="s">
        <v>4941</v>
      </c>
      <c r="AE1575" s="663" t="s">
        <v>4939</v>
      </c>
      <c r="AF1575" s="663" t="s">
        <v>4929</v>
      </c>
    </row>
    <row r="1576" spans="1:32" s="608" customFormat="1" x14ac:dyDescent="0.25">
      <c r="A1576" s="624"/>
      <c r="B1576" s="617">
        <v>39061025200</v>
      </c>
      <c r="C1576" s="617" t="s">
        <v>3244</v>
      </c>
      <c r="D1576" s="617" t="s">
        <v>55</v>
      </c>
      <c r="E1576" s="617" t="s">
        <v>4850</v>
      </c>
      <c r="F1576" s="617" t="s">
        <v>24</v>
      </c>
      <c r="G1576" s="624"/>
      <c r="O1576" s="616"/>
      <c r="P1576" s="616"/>
      <c r="Q1576" s="616"/>
      <c r="AA1576" s="624"/>
      <c r="AB1576" s="663">
        <v>39075976802</v>
      </c>
      <c r="AC1576" s="663" t="s">
        <v>6508</v>
      </c>
      <c r="AD1576" s="663" t="s">
        <v>4941</v>
      </c>
      <c r="AE1576" s="663" t="s">
        <v>4931</v>
      </c>
      <c r="AF1576" s="663" t="s">
        <v>4929</v>
      </c>
    </row>
    <row r="1577" spans="1:32" s="608" customFormat="1" x14ac:dyDescent="0.25">
      <c r="A1577" s="624"/>
      <c r="B1577" s="617">
        <v>39061025300</v>
      </c>
      <c r="C1577" s="617" t="s">
        <v>3245</v>
      </c>
      <c r="D1577" s="617" t="s">
        <v>55</v>
      </c>
      <c r="E1577" s="617" t="s">
        <v>4850</v>
      </c>
      <c r="F1577" s="617" t="s">
        <v>26</v>
      </c>
      <c r="G1577" s="624"/>
      <c r="O1577" s="616"/>
      <c r="P1577" s="616"/>
      <c r="Q1577" s="616"/>
      <c r="AA1577" s="624"/>
      <c r="AB1577" s="663">
        <v>39077915400</v>
      </c>
      <c r="AC1577" s="663" t="s">
        <v>6509</v>
      </c>
      <c r="AD1577" s="663" t="s">
        <v>4948</v>
      </c>
      <c r="AE1577" s="663" t="s">
        <v>4934</v>
      </c>
      <c r="AF1577" s="663" t="s">
        <v>4929</v>
      </c>
    </row>
    <row r="1578" spans="1:32" s="608" customFormat="1" x14ac:dyDescent="0.25">
      <c r="A1578" s="624"/>
      <c r="B1578" s="617">
        <v>39061025401</v>
      </c>
      <c r="C1578" s="617" t="s">
        <v>3246</v>
      </c>
      <c r="D1578" s="617" t="s">
        <v>55</v>
      </c>
      <c r="E1578" s="617" t="s">
        <v>4850</v>
      </c>
      <c r="F1578" s="617" t="s">
        <v>26</v>
      </c>
      <c r="G1578" s="624"/>
      <c r="O1578" s="616"/>
      <c r="P1578" s="616"/>
      <c r="Q1578" s="616"/>
      <c r="AA1578" s="624"/>
      <c r="AB1578" s="663">
        <v>39077915500</v>
      </c>
      <c r="AC1578" s="663" t="s">
        <v>6510</v>
      </c>
      <c r="AD1578" s="663" t="s">
        <v>4948</v>
      </c>
      <c r="AE1578" s="663" t="s">
        <v>4942</v>
      </c>
      <c r="AF1578" s="663" t="s">
        <v>4929</v>
      </c>
    </row>
    <row r="1579" spans="1:32" s="608" customFormat="1" x14ac:dyDescent="0.25">
      <c r="A1579" s="624"/>
      <c r="B1579" s="617">
        <v>39061025402</v>
      </c>
      <c r="C1579" s="617" t="s">
        <v>3247</v>
      </c>
      <c r="D1579" s="617" t="s">
        <v>55</v>
      </c>
      <c r="E1579" s="617" t="s">
        <v>4850</v>
      </c>
      <c r="F1579" s="617" t="s">
        <v>26</v>
      </c>
      <c r="G1579" s="624"/>
      <c r="O1579" s="616"/>
      <c r="P1579" s="616"/>
      <c r="Q1579" s="616"/>
      <c r="AA1579" s="624"/>
      <c r="AB1579" s="663">
        <v>39077915600</v>
      </c>
      <c r="AC1579" s="663" t="s">
        <v>6511</v>
      </c>
      <c r="AD1579" s="663" t="s">
        <v>4941</v>
      </c>
      <c r="AE1579" s="663" t="s">
        <v>4942</v>
      </c>
      <c r="AF1579" s="663" t="s">
        <v>4929</v>
      </c>
    </row>
    <row r="1580" spans="1:32" s="608" customFormat="1" x14ac:dyDescent="0.25">
      <c r="A1580" s="624"/>
      <c r="B1580" s="617">
        <v>39061025500</v>
      </c>
      <c r="C1580" s="617" t="s">
        <v>3248</v>
      </c>
      <c r="D1580" s="617" t="s">
        <v>55</v>
      </c>
      <c r="E1580" s="617" t="s">
        <v>4850</v>
      </c>
      <c r="F1580" s="617" t="s">
        <v>24</v>
      </c>
      <c r="G1580" s="624"/>
      <c r="O1580" s="616"/>
      <c r="P1580" s="616"/>
      <c r="Q1580" s="616"/>
      <c r="AA1580" s="624"/>
      <c r="AB1580" s="663">
        <v>39077915700</v>
      </c>
      <c r="AC1580" s="663" t="s">
        <v>6512</v>
      </c>
      <c r="AD1580" s="663" t="s">
        <v>4927</v>
      </c>
      <c r="AE1580" s="663" t="s">
        <v>4928</v>
      </c>
      <c r="AF1580" s="663" t="s">
        <v>4929</v>
      </c>
    </row>
    <row r="1581" spans="1:32" s="608" customFormat="1" x14ac:dyDescent="0.25">
      <c r="A1581" s="624"/>
      <c r="B1581" s="617">
        <v>39061025600</v>
      </c>
      <c r="C1581" s="617" t="s">
        <v>3249</v>
      </c>
      <c r="D1581" s="617" t="s">
        <v>55</v>
      </c>
      <c r="E1581" s="617" t="s">
        <v>4850</v>
      </c>
      <c r="F1581" s="617" t="s">
        <v>24</v>
      </c>
      <c r="G1581" s="624"/>
      <c r="O1581" s="616"/>
      <c r="P1581" s="616"/>
      <c r="Q1581" s="616"/>
      <c r="AA1581" s="624"/>
      <c r="AB1581" s="663">
        <v>39077915800</v>
      </c>
      <c r="AC1581" s="663" t="s">
        <v>6513</v>
      </c>
      <c r="AD1581" s="663" t="s">
        <v>4927</v>
      </c>
      <c r="AE1581" s="663" t="s">
        <v>4934</v>
      </c>
      <c r="AF1581" s="663" t="s">
        <v>4929</v>
      </c>
    </row>
    <row r="1582" spans="1:32" s="608" customFormat="1" x14ac:dyDescent="0.25">
      <c r="A1582" s="624"/>
      <c r="B1582" s="617">
        <v>39061025700</v>
      </c>
      <c r="C1582" s="617" t="s">
        <v>3250</v>
      </c>
      <c r="D1582" s="617" t="s">
        <v>55</v>
      </c>
      <c r="E1582" s="617" t="s">
        <v>4850</v>
      </c>
      <c r="F1582" s="617" t="s">
        <v>24</v>
      </c>
      <c r="G1582" s="624"/>
      <c r="O1582" s="616"/>
      <c r="P1582" s="616"/>
      <c r="Q1582" s="616"/>
      <c r="AA1582" s="624"/>
      <c r="AB1582" s="663">
        <v>39077915900</v>
      </c>
      <c r="AC1582" s="663" t="s">
        <v>6514</v>
      </c>
      <c r="AD1582" s="663" t="s">
        <v>4948</v>
      </c>
      <c r="AE1582" s="663" t="s">
        <v>4934</v>
      </c>
      <c r="AF1582" s="663" t="s">
        <v>4929</v>
      </c>
    </row>
    <row r="1583" spans="1:32" s="608" customFormat="1" x14ac:dyDescent="0.25">
      <c r="A1583" s="624"/>
      <c r="B1583" s="617">
        <v>39061025800</v>
      </c>
      <c r="C1583" s="617" t="s">
        <v>3251</v>
      </c>
      <c r="D1583" s="617" t="s">
        <v>55</v>
      </c>
      <c r="E1583" s="617" t="s">
        <v>4850</v>
      </c>
      <c r="F1583" s="617" t="s">
        <v>26</v>
      </c>
      <c r="G1583" s="624"/>
      <c r="O1583" s="616"/>
      <c r="P1583" s="616"/>
      <c r="Q1583" s="616"/>
      <c r="AA1583" s="624"/>
      <c r="AB1583" s="663">
        <v>39077916000</v>
      </c>
      <c r="AC1583" s="663" t="s">
        <v>6515</v>
      </c>
      <c r="AD1583" s="663" t="s">
        <v>4948</v>
      </c>
      <c r="AE1583" s="663" t="s">
        <v>4934</v>
      </c>
      <c r="AF1583" s="663" t="s">
        <v>4929</v>
      </c>
    </row>
    <row r="1584" spans="1:32" s="608" customFormat="1" x14ac:dyDescent="0.25">
      <c r="A1584" s="624"/>
      <c r="B1584" s="617">
        <v>39061026001</v>
      </c>
      <c r="C1584" s="617" t="s">
        <v>3252</v>
      </c>
      <c r="D1584" s="617" t="s">
        <v>55</v>
      </c>
      <c r="E1584" s="617" t="s">
        <v>4850</v>
      </c>
      <c r="F1584" s="617" t="s">
        <v>26</v>
      </c>
      <c r="G1584" s="624"/>
      <c r="O1584" s="616"/>
      <c r="P1584" s="616"/>
      <c r="Q1584" s="616"/>
      <c r="AA1584" s="624"/>
      <c r="AB1584" s="663">
        <v>39077916100</v>
      </c>
      <c r="AC1584" s="663" t="s">
        <v>6516</v>
      </c>
      <c r="AD1584" s="663" t="s">
        <v>4950</v>
      </c>
      <c r="AE1584" s="663" t="s">
        <v>4934</v>
      </c>
      <c r="AF1584" s="663" t="s">
        <v>4929</v>
      </c>
    </row>
    <row r="1585" spans="1:32" s="608" customFormat="1" x14ac:dyDescent="0.25">
      <c r="A1585" s="624"/>
      <c r="B1585" s="617">
        <v>39061026002</v>
      </c>
      <c r="C1585" s="617" t="s">
        <v>3253</v>
      </c>
      <c r="D1585" s="617" t="s">
        <v>55</v>
      </c>
      <c r="E1585" s="617" t="s">
        <v>4850</v>
      </c>
      <c r="F1585" s="617" t="s">
        <v>26</v>
      </c>
      <c r="G1585" s="624"/>
      <c r="O1585" s="616"/>
      <c r="P1585" s="616"/>
      <c r="Q1585" s="616"/>
      <c r="AA1585" s="624"/>
      <c r="AB1585" s="663">
        <v>39077916200</v>
      </c>
      <c r="AC1585" s="663" t="s">
        <v>6517</v>
      </c>
      <c r="AD1585" s="663" t="s">
        <v>4927</v>
      </c>
      <c r="AE1585" s="663" t="s">
        <v>4931</v>
      </c>
      <c r="AF1585" s="663" t="s">
        <v>4929</v>
      </c>
    </row>
    <row r="1586" spans="1:32" s="608" customFormat="1" x14ac:dyDescent="0.25">
      <c r="A1586" s="624"/>
      <c r="B1586" s="617">
        <v>39061026102</v>
      </c>
      <c r="C1586" s="617" t="s">
        <v>3254</v>
      </c>
      <c r="D1586" s="617" t="s">
        <v>55</v>
      </c>
      <c r="E1586" s="617" t="s">
        <v>4850</v>
      </c>
      <c r="F1586" s="617" t="s">
        <v>26</v>
      </c>
      <c r="G1586" s="624"/>
      <c r="O1586" s="616"/>
      <c r="P1586" s="616"/>
      <c r="Q1586" s="616"/>
      <c r="AA1586" s="624"/>
      <c r="AB1586" s="663">
        <v>39077916300</v>
      </c>
      <c r="AC1586" s="663" t="s">
        <v>6518</v>
      </c>
      <c r="AD1586" s="663" t="s">
        <v>4927</v>
      </c>
      <c r="AE1586" s="663" t="s">
        <v>4928</v>
      </c>
      <c r="AF1586" s="663" t="s">
        <v>4929</v>
      </c>
    </row>
    <row r="1587" spans="1:32" s="608" customFormat="1" x14ac:dyDescent="0.25">
      <c r="A1587" s="624"/>
      <c r="B1587" s="617">
        <v>39061026103</v>
      </c>
      <c r="C1587" s="617" t="s">
        <v>3255</v>
      </c>
      <c r="D1587" s="617" t="s">
        <v>55</v>
      </c>
      <c r="E1587" s="617" t="s">
        <v>4850</v>
      </c>
      <c r="F1587" s="617" t="s">
        <v>26</v>
      </c>
      <c r="G1587" s="624"/>
      <c r="O1587" s="616"/>
      <c r="P1587" s="616"/>
      <c r="Q1587" s="616"/>
      <c r="AA1587" s="624"/>
      <c r="AB1587" s="663">
        <v>39077916400</v>
      </c>
      <c r="AC1587" s="663" t="s">
        <v>6519</v>
      </c>
      <c r="AD1587" s="663" t="s">
        <v>4950</v>
      </c>
      <c r="AE1587" s="663" t="s">
        <v>4942</v>
      </c>
      <c r="AF1587" s="663" t="s">
        <v>4929</v>
      </c>
    </row>
    <row r="1588" spans="1:32" s="608" customFormat="1" x14ac:dyDescent="0.25">
      <c r="A1588" s="624"/>
      <c r="B1588" s="617">
        <v>39061026104</v>
      </c>
      <c r="C1588" s="617" t="s">
        <v>3256</v>
      </c>
      <c r="D1588" s="617" t="s">
        <v>55</v>
      </c>
      <c r="E1588" s="617" t="s">
        <v>4850</v>
      </c>
      <c r="F1588" s="617" t="s">
        <v>26</v>
      </c>
      <c r="G1588" s="624"/>
      <c r="O1588" s="616"/>
      <c r="P1588" s="616"/>
      <c r="Q1588" s="616"/>
      <c r="AA1588" s="624"/>
      <c r="AB1588" s="663">
        <v>39077916500</v>
      </c>
      <c r="AC1588" s="663" t="s">
        <v>6520</v>
      </c>
      <c r="AD1588" s="663" t="s">
        <v>4948</v>
      </c>
      <c r="AE1588" s="663" t="s">
        <v>4942</v>
      </c>
      <c r="AF1588" s="663" t="s">
        <v>4929</v>
      </c>
    </row>
    <row r="1589" spans="1:32" s="608" customFormat="1" x14ac:dyDescent="0.25">
      <c r="A1589" s="624"/>
      <c r="B1589" s="617">
        <v>39061026200</v>
      </c>
      <c r="C1589" s="617" t="s">
        <v>3257</v>
      </c>
      <c r="D1589" s="617" t="s">
        <v>55</v>
      </c>
      <c r="E1589" s="617" t="s">
        <v>4850</v>
      </c>
      <c r="F1589" s="617" t="s">
        <v>24</v>
      </c>
      <c r="G1589" s="624"/>
      <c r="O1589" s="616"/>
      <c r="P1589" s="616"/>
      <c r="Q1589" s="616"/>
      <c r="AA1589" s="624"/>
      <c r="AB1589" s="663">
        <v>39077916600</v>
      </c>
      <c r="AC1589" s="663" t="s">
        <v>6521</v>
      </c>
      <c r="AD1589" s="663" t="s">
        <v>4950</v>
      </c>
      <c r="AE1589" s="663" t="s">
        <v>4928</v>
      </c>
      <c r="AF1589" s="663" t="s">
        <v>4929</v>
      </c>
    </row>
    <row r="1590" spans="1:32" s="608" customFormat="1" x14ac:dyDescent="0.25">
      <c r="A1590" s="624"/>
      <c r="B1590" s="617">
        <v>39061026300</v>
      </c>
      <c r="C1590" s="617" t="s">
        <v>3258</v>
      </c>
      <c r="D1590" s="617" t="s">
        <v>55</v>
      </c>
      <c r="E1590" s="617" t="s">
        <v>4850</v>
      </c>
      <c r="F1590" s="617" t="s">
        <v>24</v>
      </c>
      <c r="G1590" s="624"/>
      <c r="O1590" s="616"/>
      <c r="P1590" s="616"/>
      <c r="Q1590" s="616"/>
      <c r="AA1590" s="624"/>
      <c r="AB1590" s="663">
        <v>39079957200</v>
      </c>
      <c r="AC1590" s="663" t="s">
        <v>6522</v>
      </c>
      <c r="AD1590" s="663" t="s">
        <v>4927</v>
      </c>
      <c r="AE1590" s="663" t="s">
        <v>4934</v>
      </c>
      <c r="AF1590" s="663" t="s">
        <v>4929</v>
      </c>
    </row>
    <row r="1591" spans="1:32" s="608" customFormat="1" x14ac:dyDescent="0.25">
      <c r="A1591" s="624"/>
      <c r="B1591" s="617">
        <v>39061026400</v>
      </c>
      <c r="C1591" s="617" t="s">
        <v>3259</v>
      </c>
      <c r="D1591" s="617" t="s">
        <v>55</v>
      </c>
      <c r="E1591" s="617" t="s">
        <v>4850</v>
      </c>
      <c r="F1591" s="617" t="s">
        <v>24</v>
      </c>
      <c r="G1591" s="624"/>
      <c r="O1591" s="616"/>
      <c r="P1591" s="616"/>
      <c r="Q1591" s="616"/>
      <c r="AA1591" s="624"/>
      <c r="AB1591" s="663">
        <v>39079957300</v>
      </c>
      <c r="AC1591" s="663" t="s">
        <v>6523</v>
      </c>
      <c r="AD1591" s="663" t="s">
        <v>4927</v>
      </c>
      <c r="AE1591" s="663" t="s">
        <v>4942</v>
      </c>
      <c r="AF1591" s="663" t="s">
        <v>4929</v>
      </c>
    </row>
    <row r="1592" spans="1:32" s="608" customFormat="1" x14ac:dyDescent="0.25">
      <c r="A1592" s="624"/>
      <c r="B1592" s="617">
        <v>39061026500</v>
      </c>
      <c r="C1592" s="617" t="s">
        <v>3260</v>
      </c>
      <c r="D1592" s="617" t="s">
        <v>55</v>
      </c>
      <c r="E1592" s="617" t="s">
        <v>4850</v>
      </c>
      <c r="F1592" s="617" t="s">
        <v>26</v>
      </c>
      <c r="G1592" s="624"/>
      <c r="O1592" s="616"/>
      <c r="P1592" s="616"/>
      <c r="Q1592" s="616"/>
      <c r="AA1592" s="624"/>
      <c r="AB1592" s="663">
        <v>39079957400</v>
      </c>
      <c r="AC1592" s="663" t="s">
        <v>6524</v>
      </c>
      <c r="AD1592" s="663" t="s">
        <v>4927</v>
      </c>
      <c r="AE1592" s="663" t="s">
        <v>4942</v>
      </c>
      <c r="AF1592" s="663" t="s">
        <v>4929</v>
      </c>
    </row>
    <row r="1593" spans="1:32" s="608" customFormat="1" x14ac:dyDescent="0.25">
      <c r="A1593" s="624"/>
      <c r="B1593" s="617">
        <v>39061026600</v>
      </c>
      <c r="C1593" s="617" t="s">
        <v>3261</v>
      </c>
      <c r="D1593" s="617" t="s">
        <v>55</v>
      </c>
      <c r="E1593" s="617" t="s">
        <v>4850</v>
      </c>
      <c r="F1593" s="617" t="s">
        <v>26</v>
      </c>
      <c r="G1593" s="624"/>
      <c r="O1593" s="616"/>
      <c r="P1593" s="616"/>
      <c r="Q1593" s="616"/>
      <c r="AA1593" s="624"/>
      <c r="AB1593" s="663">
        <v>39079957500</v>
      </c>
      <c r="AC1593" s="663" t="s">
        <v>6525</v>
      </c>
      <c r="AD1593" s="663" t="s">
        <v>4950</v>
      </c>
      <c r="AE1593" s="663" t="s">
        <v>4934</v>
      </c>
      <c r="AF1593" s="663" t="s">
        <v>4929</v>
      </c>
    </row>
    <row r="1594" spans="1:32" s="608" customFormat="1" x14ac:dyDescent="0.25">
      <c r="A1594" s="624"/>
      <c r="B1594" s="617">
        <v>39061026700</v>
      </c>
      <c r="C1594" s="617" t="s">
        <v>3262</v>
      </c>
      <c r="D1594" s="617" t="s">
        <v>55</v>
      </c>
      <c r="E1594" s="617" t="s">
        <v>4850</v>
      </c>
      <c r="F1594" s="617" t="s">
        <v>24</v>
      </c>
      <c r="G1594" s="624"/>
      <c r="O1594" s="616"/>
      <c r="P1594" s="616"/>
      <c r="Q1594" s="616"/>
      <c r="AA1594" s="624"/>
      <c r="AB1594" s="663">
        <v>39079957600</v>
      </c>
      <c r="AC1594" s="663" t="s">
        <v>6526</v>
      </c>
      <c r="AD1594" s="663" t="s">
        <v>4950</v>
      </c>
      <c r="AE1594" s="663" t="s">
        <v>4934</v>
      </c>
      <c r="AF1594" s="663" t="s">
        <v>4929</v>
      </c>
    </row>
    <row r="1595" spans="1:32" s="608" customFormat="1" x14ac:dyDescent="0.25">
      <c r="A1595" s="624"/>
      <c r="B1595" s="617">
        <v>39061026800</v>
      </c>
      <c r="C1595" s="617" t="s">
        <v>3263</v>
      </c>
      <c r="D1595" s="617" t="s">
        <v>55</v>
      </c>
      <c r="E1595" s="617" t="s">
        <v>4850</v>
      </c>
      <c r="F1595" s="617" t="s">
        <v>26</v>
      </c>
      <c r="G1595" s="624"/>
      <c r="O1595" s="616"/>
      <c r="P1595" s="616"/>
      <c r="Q1595" s="616"/>
      <c r="AA1595" s="624"/>
      <c r="AB1595" s="663">
        <v>39079957700</v>
      </c>
      <c r="AC1595" s="663" t="s">
        <v>6527</v>
      </c>
      <c r="AD1595" s="663" t="s">
        <v>4950</v>
      </c>
      <c r="AE1595" s="663" t="s">
        <v>4942</v>
      </c>
      <c r="AF1595" s="663" t="s">
        <v>4929</v>
      </c>
    </row>
    <row r="1596" spans="1:32" s="608" customFormat="1" x14ac:dyDescent="0.25">
      <c r="A1596" s="624"/>
      <c r="B1596" s="617">
        <v>39061026900</v>
      </c>
      <c r="C1596" s="617" t="s">
        <v>3264</v>
      </c>
      <c r="D1596" s="617" t="s">
        <v>55</v>
      </c>
      <c r="E1596" s="617" t="s">
        <v>4850</v>
      </c>
      <c r="F1596" s="617" t="s">
        <v>24</v>
      </c>
      <c r="G1596" s="624"/>
      <c r="O1596" s="616"/>
      <c r="P1596" s="616"/>
      <c r="Q1596" s="616"/>
      <c r="AA1596" s="624"/>
      <c r="AB1596" s="663">
        <v>39079957800</v>
      </c>
      <c r="AC1596" s="663" t="s">
        <v>6528</v>
      </c>
      <c r="AD1596" s="663" t="s">
        <v>4927</v>
      </c>
      <c r="AE1596" s="663" t="s">
        <v>4934</v>
      </c>
      <c r="AF1596" s="663" t="s">
        <v>4929</v>
      </c>
    </row>
    <row r="1597" spans="1:32" s="608" customFormat="1" x14ac:dyDescent="0.25">
      <c r="A1597" s="624"/>
      <c r="B1597" s="617">
        <v>39061027000</v>
      </c>
      <c r="C1597" s="617" t="s">
        <v>3265</v>
      </c>
      <c r="D1597" s="617" t="s">
        <v>55</v>
      </c>
      <c r="E1597" s="617" t="s">
        <v>4850</v>
      </c>
      <c r="F1597" s="617" t="s">
        <v>24</v>
      </c>
      <c r="G1597" s="624"/>
      <c r="O1597" s="616"/>
      <c r="P1597" s="616"/>
      <c r="Q1597" s="616"/>
      <c r="AA1597" s="624"/>
      <c r="AB1597" s="663">
        <v>39081000200</v>
      </c>
      <c r="AC1597" s="663" t="s">
        <v>6529</v>
      </c>
      <c r="AD1597" s="663" t="s">
        <v>4941</v>
      </c>
      <c r="AE1597" s="663" t="s">
        <v>4928</v>
      </c>
      <c r="AF1597" s="663" t="s">
        <v>4962</v>
      </c>
    </row>
    <row r="1598" spans="1:32" s="608" customFormat="1" x14ac:dyDescent="0.25">
      <c r="A1598" s="624"/>
      <c r="B1598" s="617">
        <v>39061027100</v>
      </c>
      <c r="C1598" s="617" t="s">
        <v>3266</v>
      </c>
      <c r="D1598" s="617" t="s">
        <v>55</v>
      </c>
      <c r="E1598" s="617" t="s">
        <v>4850</v>
      </c>
      <c r="F1598" s="617" t="s">
        <v>24</v>
      </c>
      <c r="G1598" s="624"/>
      <c r="O1598" s="616"/>
      <c r="P1598" s="616"/>
      <c r="Q1598" s="616"/>
      <c r="AA1598" s="624"/>
      <c r="AB1598" s="663">
        <v>39081000400</v>
      </c>
      <c r="AC1598" s="663" t="s">
        <v>6530</v>
      </c>
      <c r="AD1598" s="663" t="s">
        <v>4941</v>
      </c>
      <c r="AE1598" s="663" t="s">
        <v>4942</v>
      </c>
      <c r="AF1598" s="663" t="s">
        <v>4962</v>
      </c>
    </row>
    <row r="1599" spans="1:32" s="608" customFormat="1" x14ac:dyDescent="0.25">
      <c r="A1599" s="624"/>
      <c r="B1599" s="617">
        <v>39061027200</v>
      </c>
      <c r="C1599" s="617" t="s">
        <v>3267</v>
      </c>
      <c r="D1599" s="617" t="s">
        <v>55</v>
      </c>
      <c r="E1599" s="617" t="s">
        <v>4850</v>
      </c>
      <c r="F1599" s="617" t="s">
        <v>24</v>
      </c>
      <c r="G1599" s="624"/>
      <c r="O1599" s="616"/>
      <c r="P1599" s="616"/>
      <c r="Q1599" s="616"/>
      <c r="AA1599" s="624"/>
      <c r="AB1599" s="663">
        <v>39081000600</v>
      </c>
      <c r="AC1599" s="663" t="s">
        <v>6531</v>
      </c>
      <c r="AD1599" s="663" t="s">
        <v>4948</v>
      </c>
      <c r="AE1599" s="663" t="s">
        <v>4928</v>
      </c>
      <c r="AF1599" s="663" t="s">
        <v>4946</v>
      </c>
    </row>
    <row r="1600" spans="1:32" s="608" customFormat="1" x14ac:dyDescent="0.25">
      <c r="A1600" s="624"/>
      <c r="B1600" s="617">
        <v>39061027300</v>
      </c>
      <c r="C1600" s="617" t="s">
        <v>3268</v>
      </c>
      <c r="D1600" s="617" t="s">
        <v>55</v>
      </c>
      <c r="E1600" s="617" t="s">
        <v>4850</v>
      </c>
      <c r="F1600" s="617" t="s">
        <v>26</v>
      </c>
      <c r="G1600" s="624"/>
      <c r="O1600" s="616"/>
      <c r="P1600" s="616"/>
      <c r="Q1600" s="616"/>
      <c r="AA1600" s="624"/>
      <c r="AB1600" s="663">
        <v>39081000800</v>
      </c>
      <c r="AC1600" s="663" t="s">
        <v>6532</v>
      </c>
      <c r="AD1600" s="663" t="s">
        <v>4927</v>
      </c>
      <c r="AE1600" s="663" t="s">
        <v>4928</v>
      </c>
      <c r="AF1600" s="663" t="s">
        <v>4962</v>
      </c>
    </row>
    <row r="1601" spans="1:32" s="608" customFormat="1" x14ac:dyDescent="0.25">
      <c r="A1601" s="624"/>
      <c r="B1601" s="617">
        <v>39061027400</v>
      </c>
      <c r="C1601" s="617" t="s">
        <v>3269</v>
      </c>
      <c r="D1601" s="617" t="s">
        <v>55</v>
      </c>
      <c r="E1601" s="617" t="s">
        <v>4850</v>
      </c>
      <c r="F1601" s="617" t="s">
        <v>24</v>
      </c>
      <c r="G1601" s="624"/>
      <c r="O1601" s="616"/>
      <c r="P1601" s="616"/>
      <c r="Q1601" s="616"/>
      <c r="AA1601" s="624"/>
      <c r="AB1601" s="663">
        <v>39081001000</v>
      </c>
      <c r="AC1601" s="663" t="s">
        <v>6533</v>
      </c>
      <c r="AD1601" s="663" t="s">
        <v>4941</v>
      </c>
      <c r="AE1601" s="663" t="s">
        <v>4928</v>
      </c>
      <c r="AF1601" s="663" t="s">
        <v>4946</v>
      </c>
    </row>
    <row r="1602" spans="1:32" s="608" customFormat="1" x14ac:dyDescent="0.25">
      <c r="A1602" s="624"/>
      <c r="B1602" s="617">
        <v>39061027500</v>
      </c>
      <c r="C1602" s="617" t="s">
        <v>3270</v>
      </c>
      <c r="D1602" s="617" t="s">
        <v>55</v>
      </c>
      <c r="E1602" s="617" t="s">
        <v>4850</v>
      </c>
      <c r="F1602" s="617" t="s">
        <v>26</v>
      </c>
      <c r="G1602" s="624"/>
      <c r="O1602" s="616"/>
      <c r="P1602" s="616"/>
      <c r="Q1602" s="616"/>
      <c r="AA1602" s="624"/>
      <c r="AB1602" s="663">
        <v>39081001200</v>
      </c>
      <c r="AC1602" s="663" t="s">
        <v>6534</v>
      </c>
      <c r="AD1602" s="663" t="s">
        <v>4950</v>
      </c>
      <c r="AE1602" s="663" t="s">
        <v>4928</v>
      </c>
      <c r="AF1602" s="663" t="s">
        <v>4946</v>
      </c>
    </row>
    <row r="1603" spans="1:32" s="608" customFormat="1" x14ac:dyDescent="0.25">
      <c r="A1603" s="624"/>
      <c r="B1603" s="617">
        <v>39061027600</v>
      </c>
      <c r="C1603" s="617" t="s">
        <v>3271</v>
      </c>
      <c r="D1603" s="617" t="s">
        <v>55</v>
      </c>
      <c r="E1603" s="617" t="s">
        <v>4850</v>
      </c>
      <c r="F1603" s="617" t="s">
        <v>26</v>
      </c>
      <c r="G1603" s="624"/>
      <c r="O1603" s="616"/>
      <c r="P1603" s="616"/>
      <c r="Q1603" s="616"/>
      <c r="AA1603" s="624"/>
      <c r="AB1603" s="663">
        <v>39081001300</v>
      </c>
      <c r="AC1603" s="663" t="s">
        <v>6535</v>
      </c>
      <c r="AD1603" s="663" t="s">
        <v>4927</v>
      </c>
      <c r="AE1603" s="663" t="s">
        <v>4939</v>
      </c>
      <c r="AF1603" s="663" t="s">
        <v>4946</v>
      </c>
    </row>
    <row r="1604" spans="1:32" s="608" customFormat="1" x14ac:dyDescent="0.25">
      <c r="A1604" s="624"/>
      <c r="B1604" s="617">
        <v>39061027700</v>
      </c>
      <c r="C1604" s="617" t="s">
        <v>3272</v>
      </c>
      <c r="D1604" s="617" t="s">
        <v>55</v>
      </c>
      <c r="E1604" s="617" t="s">
        <v>4850</v>
      </c>
      <c r="F1604" s="617" t="s">
        <v>26</v>
      </c>
      <c r="G1604" s="624"/>
      <c r="O1604" s="616"/>
      <c r="P1604" s="616"/>
      <c r="Q1604" s="616"/>
      <c r="AA1604" s="624"/>
      <c r="AB1604" s="663">
        <v>39081001400</v>
      </c>
      <c r="AC1604" s="663" t="s">
        <v>6536</v>
      </c>
      <c r="AD1604" s="663" t="s">
        <v>4941</v>
      </c>
      <c r="AE1604" s="663" t="s">
        <v>4942</v>
      </c>
      <c r="AF1604" s="663" t="s">
        <v>4946</v>
      </c>
    </row>
    <row r="1605" spans="1:32" s="608" customFormat="1" x14ac:dyDescent="0.25">
      <c r="A1605" s="624"/>
      <c r="B1605" s="617">
        <v>39063000100</v>
      </c>
      <c r="C1605" s="617" t="s">
        <v>3273</v>
      </c>
      <c r="D1605" s="617" t="s">
        <v>56</v>
      </c>
      <c r="E1605" s="617" t="s">
        <v>1672</v>
      </c>
      <c r="F1605" s="617" t="s">
        <v>26</v>
      </c>
      <c r="G1605" s="624"/>
      <c r="O1605" s="616"/>
      <c r="P1605" s="616"/>
      <c r="Q1605" s="616"/>
      <c r="AA1605" s="624"/>
      <c r="AB1605" s="663">
        <v>39081001700</v>
      </c>
      <c r="AC1605" s="663" t="s">
        <v>6537</v>
      </c>
      <c r="AD1605" s="663" t="s">
        <v>4941</v>
      </c>
      <c r="AE1605" s="663" t="s">
        <v>4942</v>
      </c>
      <c r="AF1605" s="663" t="s">
        <v>4962</v>
      </c>
    </row>
    <row r="1606" spans="1:32" s="608" customFormat="1" x14ac:dyDescent="0.25">
      <c r="A1606" s="624"/>
      <c r="B1606" s="617">
        <v>39063000200</v>
      </c>
      <c r="C1606" s="617" t="s">
        <v>3274</v>
      </c>
      <c r="D1606" s="617" t="s">
        <v>56</v>
      </c>
      <c r="E1606" s="617" t="s">
        <v>1672</v>
      </c>
      <c r="F1606" s="617" t="s">
        <v>26</v>
      </c>
      <c r="G1606" s="624"/>
      <c r="O1606" s="616"/>
      <c r="P1606" s="616"/>
      <c r="Q1606" s="616"/>
      <c r="AA1606" s="624"/>
      <c r="AB1606" s="663">
        <v>39081011000</v>
      </c>
      <c r="AC1606" s="663" t="s">
        <v>6538</v>
      </c>
      <c r="AD1606" s="663" t="s">
        <v>4950</v>
      </c>
      <c r="AE1606" s="663" t="s">
        <v>4942</v>
      </c>
      <c r="AF1606" s="663" t="s">
        <v>4929</v>
      </c>
    </row>
    <row r="1607" spans="1:32" s="608" customFormat="1" x14ac:dyDescent="0.25">
      <c r="A1607" s="624"/>
      <c r="B1607" s="617">
        <v>39063000301</v>
      </c>
      <c r="C1607" s="617" t="s">
        <v>3275</v>
      </c>
      <c r="D1607" s="617" t="s">
        <v>56</v>
      </c>
      <c r="E1607" s="617" t="s">
        <v>1672</v>
      </c>
      <c r="F1607" s="617" t="s">
        <v>26</v>
      </c>
      <c r="G1607" s="624"/>
      <c r="O1607" s="616"/>
      <c r="P1607" s="616"/>
      <c r="Q1607" s="616"/>
      <c r="AA1607" s="624"/>
      <c r="AB1607" s="663">
        <v>39081011100</v>
      </c>
      <c r="AC1607" s="663" t="s">
        <v>6539</v>
      </c>
      <c r="AD1607" s="663" t="s">
        <v>4927</v>
      </c>
      <c r="AE1607" s="663" t="s">
        <v>4931</v>
      </c>
      <c r="AF1607" s="663" t="s">
        <v>4929</v>
      </c>
    </row>
    <row r="1608" spans="1:32" s="608" customFormat="1" x14ac:dyDescent="0.25">
      <c r="A1608" s="624"/>
      <c r="B1608" s="617">
        <v>39063000302</v>
      </c>
      <c r="C1608" s="617" t="s">
        <v>3276</v>
      </c>
      <c r="D1608" s="617" t="s">
        <v>56</v>
      </c>
      <c r="E1608" s="617" t="s">
        <v>1672</v>
      </c>
      <c r="F1608" s="617" t="s">
        <v>26</v>
      </c>
      <c r="G1608" s="624"/>
      <c r="O1608" s="616"/>
      <c r="P1608" s="616"/>
      <c r="Q1608" s="616"/>
      <c r="AA1608" s="624"/>
      <c r="AB1608" s="663">
        <v>39081011200</v>
      </c>
      <c r="AC1608" s="663" t="s">
        <v>6540</v>
      </c>
      <c r="AD1608" s="663" t="s">
        <v>4927</v>
      </c>
      <c r="AE1608" s="663" t="s">
        <v>4939</v>
      </c>
      <c r="AF1608" s="663" t="s">
        <v>4946</v>
      </c>
    </row>
    <row r="1609" spans="1:32" s="608" customFormat="1" x14ac:dyDescent="0.25">
      <c r="A1609" s="624"/>
      <c r="B1609" s="617">
        <v>39063000400</v>
      </c>
      <c r="C1609" s="617" t="s">
        <v>3277</v>
      </c>
      <c r="D1609" s="617" t="s">
        <v>56</v>
      </c>
      <c r="E1609" s="617" t="s">
        <v>1672</v>
      </c>
      <c r="F1609" s="617" t="s">
        <v>26</v>
      </c>
      <c r="G1609" s="624"/>
      <c r="O1609" s="616"/>
      <c r="P1609" s="616"/>
      <c r="Q1609" s="616"/>
      <c r="AA1609" s="624"/>
      <c r="AB1609" s="663">
        <v>39081011300</v>
      </c>
      <c r="AC1609" s="663" t="s">
        <v>6541</v>
      </c>
      <c r="AD1609" s="663" t="s">
        <v>4950</v>
      </c>
      <c r="AE1609" s="663" t="s">
        <v>4928</v>
      </c>
      <c r="AF1609" s="663" t="s">
        <v>4946</v>
      </c>
    </row>
    <row r="1610" spans="1:32" s="608" customFormat="1" x14ac:dyDescent="0.25">
      <c r="A1610" s="624"/>
      <c r="B1610" s="617">
        <v>39063000500</v>
      </c>
      <c r="C1610" s="617" t="s">
        <v>3278</v>
      </c>
      <c r="D1610" s="617" t="s">
        <v>56</v>
      </c>
      <c r="E1610" s="617" t="s">
        <v>1672</v>
      </c>
      <c r="F1610" s="617" t="s">
        <v>26</v>
      </c>
      <c r="G1610" s="624"/>
      <c r="O1610" s="616"/>
      <c r="P1610" s="616"/>
      <c r="Q1610" s="616"/>
      <c r="AA1610" s="624"/>
      <c r="AB1610" s="663">
        <v>39081011401</v>
      </c>
      <c r="AC1610" s="663" t="s">
        <v>6542</v>
      </c>
      <c r="AD1610" s="663" t="s">
        <v>4950</v>
      </c>
      <c r="AE1610" s="663" t="s">
        <v>4928</v>
      </c>
      <c r="AF1610" s="663" t="s">
        <v>4929</v>
      </c>
    </row>
    <row r="1611" spans="1:32" s="608" customFormat="1" x14ac:dyDescent="0.25">
      <c r="A1611" s="624"/>
      <c r="B1611" s="617">
        <v>39063000600</v>
      </c>
      <c r="C1611" s="617" t="s">
        <v>3279</v>
      </c>
      <c r="D1611" s="617" t="s">
        <v>56</v>
      </c>
      <c r="E1611" s="617" t="s">
        <v>1672</v>
      </c>
      <c r="F1611" s="617" t="s">
        <v>26</v>
      </c>
      <c r="G1611" s="624"/>
      <c r="O1611" s="616"/>
      <c r="P1611" s="616"/>
      <c r="Q1611" s="616"/>
      <c r="AA1611" s="624"/>
      <c r="AB1611" s="663">
        <v>39081011402</v>
      </c>
      <c r="AC1611" s="663" t="s">
        <v>6543</v>
      </c>
      <c r="AD1611" s="663" t="s">
        <v>4950</v>
      </c>
      <c r="AE1611" s="663" t="s">
        <v>4934</v>
      </c>
      <c r="AF1611" s="663" t="s">
        <v>4929</v>
      </c>
    </row>
    <row r="1612" spans="1:32" s="608" customFormat="1" x14ac:dyDescent="0.25">
      <c r="A1612" s="624"/>
      <c r="B1612" s="617">
        <v>39063000700</v>
      </c>
      <c r="C1612" s="617" t="s">
        <v>3280</v>
      </c>
      <c r="D1612" s="617" t="s">
        <v>56</v>
      </c>
      <c r="E1612" s="617" t="s">
        <v>1672</v>
      </c>
      <c r="F1612" s="617" t="s">
        <v>26</v>
      </c>
      <c r="G1612" s="624"/>
      <c r="O1612" s="616"/>
      <c r="P1612" s="616"/>
      <c r="Q1612" s="616"/>
      <c r="AA1612" s="624"/>
      <c r="AB1612" s="663">
        <v>39081011500</v>
      </c>
      <c r="AC1612" s="663" t="s">
        <v>6544</v>
      </c>
      <c r="AD1612" s="663" t="s">
        <v>4941</v>
      </c>
      <c r="AE1612" s="663" t="s">
        <v>4931</v>
      </c>
      <c r="AF1612" s="663" t="s">
        <v>4929</v>
      </c>
    </row>
    <row r="1613" spans="1:32" s="608" customFormat="1" x14ac:dyDescent="0.25">
      <c r="A1613" s="624"/>
      <c r="B1613" s="617">
        <v>39063000800</v>
      </c>
      <c r="C1613" s="617" t="s">
        <v>3281</v>
      </c>
      <c r="D1613" s="617" t="s">
        <v>56</v>
      </c>
      <c r="E1613" s="617" t="s">
        <v>1672</v>
      </c>
      <c r="F1613" s="617" t="s">
        <v>26</v>
      </c>
      <c r="G1613" s="624"/>
      <c r="O1613" s="616"/>
      <c r="P1613" s="616"/>
      <c r="Q1613" s="616"/>
      <c r="AA1613" s="624"/>
      <c r="AB1613" s="663">
        <v>39081011700</v>
      </c>
      <c r="AC1613" s="663" t="s">
        <v>6545</v>
      </c>
      <c r="AD1613" s="663" t="s">
        <v>4948</v>
      </c>
      <c r="AE1613" s="663" t="s">
        <v>4942</v>
      </c>
      <c r="AF1613" s="663" t="s">
        <v>4929</v>
      </c>
    </row>
    <row r="1614" spans="1:32" s="608" customFormat="1" x14ac:dyDescent="0.25">
      <c r="A1614" s="624"/>
      <c r="B1614" s="617">
        <v>39063000901</v>
      </c>
      <c r="C1614" s="617" t="s">
        <v>3282</v>
      </c>
      <c r="D1614" s="617" t="s">
        <v>56</v>
      </c>
      <c r="E1614" s="617" t="s">
        <v>1672</v>
      </c>
      <c r="F1614" s="617" t="s">
        <v>24</v>
      </c>
      <c r="G1614" s="624"/>
      <c r="O1614" s="616"/>
      <c r="P1614" s="616"/>
      <c r="Q1614" s="616"/>
      <c r="AA1614" s="624"/>
      <c r="AB1614" s="663">
        <v>39081011800</v>
      </c>
      <c r="AC1614" s="663" t="s">
        <v>6546</v>
      </c>
      <c r="AD1614" s="663" t="s">
        <v>4950</v>
      </c>
      <c r="AE1614" s="663" t="s">
        <v>4939</v>
      </c>
      <c r="AF1614" s="663" t="s">
        <v>4946</v>
      </c>
    </row>
    <row r="1615" spans="1:32" s="608" customFormat="1" x14ac:dyDescent="0.25">
      <c r="A1615" s="624"/>
      <c r="B1615" s="617">
        <v>39063000902</v>
      </c>
      <c r="C1615" s="617" t="s">
        <v>3283</v>
      </c>
      <c r="D1615" s="617" t="s">
        <v>56</v>
      </c>
      <c r="E1615" s="617" t="s">
        <v>1672</v>
      </c>
      <c r="F1615" s="617" t="s">
        <v>24</v>
      </c>
      <c r="G1615" s="624"/>
      <c r="O1615" s="616"/>
      <c r="P1615" s="616"/>
      <c r="Q1615" s="616"/>
      <c r="AA1615" s="624"/>
      <c r="AB1615" s="663">
        <v>39081011900</v>
      </c>
      <c r="AC1615" s="663" t="s">
        <v>6547</v>
      </c>
      <c r="AD1615" s="663" t="s">
        <v>4927</v>
      </c>
      <c r="AE1615" s="663" t="s">
        <v>4934</v>
      </c>
      <c r="AF1615" s="663" t="s">
        <v>4929</v>
      </c>
    </row>
    <row r="1616" spans="1:32" s="608" customFormat="1" x14ac:dyDescent="0.25">
      <c r="A1616" s="624"/>
      <c r="B1616" s="617">
        <v>39063001000</v>
      </c>
      <c r="C1616" s="617" t="s">
        <v>3284</v>
      </c>
      <c r="D1616" s="617" t="s">
        <v>56</v>
      </c>
      <c r="E1616" s="617" t="s">
        <v>1672</v>
      </c>
      <c r="F1616" s="617" t="s">
        <v>26</v>
      </c>
      <c r="G1616" s="624"/>
      <c r="O1616" s="616"/>
      <c r="P1616" s="616"/>
      <c r="Q1616" s="616"/>
      <c r="AA1616" s="624"/>
      <c r="AB1616" s="663">
        <v>39081012000</v>
      </c>
      <c r="AC1616" s="663" t="s">
        <v>6548</v>
      </c>
      <c r="AD1616" s="663" t="s">
        <v>4927</v>
      </c>
      <c r="AE1616" s="663" t="s">
        <v>4931</v>
      </c>
      <c r="AF1616" s="663" t="s">
        <v>4929</v>
      </c>
    </row>
    <row r="1617" spans="1:32" s="608" customFormat="1" x14ac:dyDescent="0.25">
      <c r="A1617" s="624"/>
      <c r="B1617" s="617">
        <v>39063001100</v>
      </c>
      <c r="C1617" s="617" t="s">
        <v>3285</v>
      </c>
      <c r="D1617" s="617" t="s">
        <v>56</v>
      </c>
      <c r="E1617" s="617" t="s">
        <v>1672</v>
      </c>
      <c r="F1617" s="617" t="s">
        <v>26</v>
      </c>
      <c r="G1617" s="624"/>
      <c r="O1617" s="616"/>
      <c r="P1617" s="616"/>
      <c r="Q1617" s="616"/>
      <c r="AA1617" s="624"/>
      <c r="AB1617" s="663">
        <v>39081012100</v>
      </c>
      <c r="AC1617" s="663" t="s">
        <v>6549</v>
      </c>
      <c r="AD1617" s="663" t="s">
        <v>4950</v>
      </c>
      <c r="AE1617" s="663" t="s">
        <v>4928</v>
      </c>
      <c r="AF1617" s="663" t="s">
        <v>4929</v>
      </c>
    </row>
    <row r="1618" spans="1:32" s="608" customFormat="1" x14ac:dyDescent="0.25">
      <c r="A1618" s="624"/>
      <c r="B1618" s="617">
        <v>39063001200</v>
      </c>
      <c r="C1618" s="617" t="s">
        <v>3286</v>
      </c>
      <c r="D1618" s="617" t="s">
        <v>56</v>
      </c>
      <c r="E1618" s="617" t="s">
        <v>1672</v>
      </c>
      <c r="F1618" s="617" t="s">
        <v>26</v>
      </c>
      <c r="G1618" s="624"/>
      <c r="O1618" s="616"/>
      <c r="P1618" s="616"/>
      <c r="Q1618" s="616"/>
      <c r="AA1618" s="624"/>
      <c r="AB1618" s="663">
        <v>39081012200</v>
      </c>
      <c r="AC1618" s="663" t="s">
        <v>6550</v>
      </c>
      <c r="AD1618" s="663" t="s">
        <v>4927</v>
      </c>
      <c r="AE1618" s="663" t="s">
        <v>4931</v>
      </c>
      <c r="AF1618" s="663" t="s">
        <v>4929</v>
      </c>
    </row>
    <row r="1619" spans="1:32" s="608" customFormat="1" x14ac:dyDescent="0.25">
      <c r="A1619" s="624"/>
      <c r="B1619" s="617">
        <v>39063001300</v>
      </c>
      <c r="C1619" s="617" t="s">
        <v>3287</v>
      </c>
      <c r="D1619" s="617" t="s">
        <v>56</v>
      </c>
      <c r="E1619" s="617" t="s">
        <v>1672</v>
      </c>
      <c r="F1619" s="617" t="s">
        <v>26</v>
      </c>
      <c r="G1619" s="624"/>
      <c r="O1619" s="616"/>
      <c r="P1619" s="616"/>
      <c r="Q1619" s="616"/>
      <c r="AA1619" s="624"/>
      <c r="AB1619" s="663">
        <v>39081012300</v>
      </c>
      <c r="AC1619" s="663" t="s">
        <v>6551</v>
      </c>
      <c r="AD1619" s="663" t="s">
        <v>4927</v>
      </c>
      <c r="AE1619" s="663" t="s">
        <v>4928</v>
      </c>
      <c r="AF1619" s="663" t="s">
        <v>4946</v>
      </c>
    </row>
    <row r="1620" spans="1:32" s="608" customFormat="1" x14ac:dyDescent="0.25">
      <c r="A1620" s="624"/>
      <c r="B1620" s="617">
        <v>39065000100</v>
      </c>
      <c r="C1620" s="617" t="s">
        <v>3288</v>
      </c>
      <c r="D1620" s="617" t="s">
        <v>57</v>
      </c>
      <c r="E1620" s="617" t="s">
        <v>1672</v>
      </c>
      <c r="F1620" s="617" t="s">
        <v>26</v>
      </c>
      <c r="G1620" s="624"/>
      <c r="O1620" s="616"/>
      <c r="P1620" s="616"/>
      <c r="Q1620" s="616"/>
      <c r="AA1620" s="624"/>
      <c r="AB1620" s="663">
        <v>39083006700</v>
      </c>
      <c r="AC1620" s="663" t="s">
        <v>6552</v>
      </c>
      <c r="AD1620" s="663" t="s">
        <v>4927</v>
      </c>
      <c r="AE1620" s="663" t="s">
        <v>4931</v>
      </c>
      <c r="AF1620" s="663" t="s">
        <v>4929</v>
      </c>
    </row>
    <row r="1621" spans="1:32" s="608" customFormat="1" x14ac:dyDescent="0.25">
      <c r="A1621" s="624"/>
      <c r="B1621" s="617">
        <v>39065000200</v>
      </c>
      <c r="C1621" s="617" t="s">
        <v>3289</v>
      </c>
      <c r="D1621" s="617" t="s">
        <v>57</v>
      </c>
      <c r="E1621" s="617" t="s">
        <v>1672</v>
      </c>
      <c r="F1621" s="617" t="s">
        <v>26</v>
      </c>
      <c r="G1621" s="624"/>
      <c r="O1621" s="616"/>
      <c r="P1621" s="616"/>
      <c r="Q1621" s="616"/>
      <c r="AA1621" s="624"/>
      <c r="AB1621" s="663">
        <v>39083006801</v>
      </c>
      <c r="AC1621" s="663" t="s">
        <v>6553</v>
      </c>
      <c r="AD1621" s="663" t="s">
        <v>4941</v>
      </c>
      <c r="AE1621" s="663" t="s">
        <v>4934</v>
      </c>
      <c r="AF1621" s="663" t="s">
        <v>4929</v>
      </c>
    </row>
    <row r="1622" spans="1:32" s="608" customFormat="1" x14ac:dyDescent="0.25">
      <c r="A1622" s="624"/>
      <c r="B1622" s="617">
        <v>39065000300</v>
      </c>
      <c r="C1622" s="617" t="s">
        <v>3290</v>
      </c>
      <c r="D1622" s="617" t="s">
        <v>57</v>
      </c>
      <c r="E1622" s="617" t="s">
        <v>1672</v>
      </c>
      <c r="F1622" s="617" t="s">
        <v>26</v>
      </c>
      <c r="G1622" s="624"/>
      <c r="O1622" s="616"/>
      <c r="P1622" s="616"/>
      <c r="Q1622" s="616"/>
      <c r="AA1622" s="624"/>
      <c r="AB1622" s="663">
        <v>39083006802</v>
      </c>
      <c r="AC1622" s="663" t="s">
        <v>6554</v>
      </c>
      <c r="AD1622" s="663" t="s">
        <v>4950</v>
      </c>
      <c r="AE1622" s="663" t="s">
        <v>4934</v>
      </c>
      <c r="AF1622" s="663" t="s">
        <v>4929</v>
      </c>
    </row>
    <row r="1623" spans="1:32" s="608" customFormat="1" x14ac:dyDescent="0.25">
      <c r="A1623" s="624"/>
      <c r="B1623" s="617">
        <v>39065000401</v>
      </c>
      <c r="C1623" s="617" t="s">
        <v>3291</v>
      </c>
      <c r="D1623" s="617" t="s">
        <v>57</v>
      </c>
      <c r="E1623" s="617" t="s">
        <v>1672</v>
      </c>
      <c r="F1623" s="617" t="s">
        <v>26</v>
      </c>
      <c r="G1623" s="624"/>
      <c r="O1623" s="616"/>
      <c r="P1623" s="616"/>
      <c r="Q1623" s="616"/>
      <c r="AA1623" s="624"/>
      <c r="AB1623" s="663">
        <v>39083006900</v>
      </c>
      <c r="AC1623" s="663" t="s">
        <v>6555</v>
      </c>
      <c r="AD1623" s="663" t="s">
        <v>4941</v>
      </c>
      <c r="AE1623" s="663" t="s">
        <v>4934</v>
      </c>
      <c r="AF1623" s="663" t="s">
        <v>4929</v>
      </c>
    </row>
    <row r="1624" spans="1:32" s="608" customFormat="1" x14ac:dyDescent="0.25">
      <c r="A1624" s="624"/>
      <c r="B1624" s="617">
        <v>39065000402</v>
      </c>
      <c r="C1624" s="617" t="s">
        <v>3292</v>
      </c>
      <c r="D1624" s="617" t="s">
        <v>57</v>
      </c>
      <c r="E1624" s="617" t="s">
        <v>1672</v>
      </c>
      <c r="F1624" s="617" t="s">
        <v>26</v>
      </c>
      <c r="G1624" s="624"/>
      <c r="O1624" s="616"/>
      <c r="P1624" s="616"/>
      <c r="Q1624" s="616"/>
      <c r="AA1624" s="624"/>
      <c r="AB1624" s="663">
        <v>39083007000</v>
      </c>
      <c r="AC1624" s="663" t="s">
        <v>6556</v>
      </c>
      <c r="AD1624" s="663" t="s">
        <v>4948</v>
      </c>
      <c r="AE1624" s="663" t="s">
        <v>4934</v>
      </c>
      <c r="AF1624" s="663" t="s">
        <v>4929</v>
      </c>
    </row>
    <row r="1625" spans="1:32" s="608" customFormat="1" x14ac:dyDescent="0.25">
      <c r="A1625" s="624"/>
      <c r="B1625" s="617">
        <v>39065000500</v>
      </c>
      <c r="C1625" s="617" t="s">
        <v>3293</v>
      </c>
      <c r="D1625" s="617" t="s">
        <v>57</v>
      </c>
      <c r="E1625" s="617" t="s">
        <v>1672</v>
      </c>
      <c r="F1625" s="617" t="s">
        <v>26</v>
      </c>
      <c r="G1625" s="624"/>
      <c r="O1625" s="616"/>
      <c r="P1625" s="616"/>
      <c r="Q1625" s="616"/>
      <c r="AA1625" s="624"/>
      <c r="AB1625" s="663">
        <v>39083007100</v>
      </c>
      <c r="AC1625" s="663" t="s">
        <v>6557</v>
      </c>
      <c r="AD1625" s="663" t="s">
        <v>4927</v>
      </c>
      <c r="AE1625" s="663" t="s">
        <v>4931</v>
      </c>
      <c r="AF1625" s="663" t="s">
        <v>4929</v>
      </c>
    </row>
    <row r="1626" spans="1:32" s="608" customFormat="1" x14ac:dyDescent="0.25">
      <c r="A1626" s="624"/>
      <c r="B1626" s="617">
        <v>39065000600</v>
      </c>
      <c r="C1626" s="617" t="s">
        <v>3294</v>
      </c>
      <c r="D1626" s="617" t="s">
        <v>57</v>
      </c>
      <c r="E1626" s="617" t="s">
        <v>1672</v>
      </c>
      <c r="F1626" s="617" t="s">
        <v>26</v>
      </c>
      <c r="G1626" s="624"/>
      <c r="O1626" s="616"/>
      <c r="P1626" s="616"/>
      <c r="Q1626" s="616"/>
      <c r="AA1626" s="624"/>
      <c r="AB1626" s="663">
        <v>39083007200</v>
      </c>
      <c r="AC1626" s="663" t="s">
        <v>6558</v>
      </c>
      <c r="AD1626" s="663" t="s">
        <v>4950</v>
      </c>
      <c r="AE1626" s="663" t="s">
        <v>4931</v>
      </c>
      <c r="AF1626" s="663" t="s">
        <v>4929</v>
      </c>
    </row>
    <row r="1627" spans="1:32" s="608" customFormat="1" x14ac:dyDescent="0.25">
      <c r="A1627" s="624"/>
      <c r="B1627" s="617">
        <v>39065000700</v>
      </c>
      <c r="C1627" s="617" t="s">
        <v>3295</v>
      </c>
      <c r="D1627" s="617" t="s">
        <v>57</v>
      </c>
      <c r="E1627" s="617" t="s">
        <v>1672</v>
      </c>
      <c r="F1627" s="617" t="s">
        <v>26</v>
      </c>
      <c r="G1627" s="624"/>
      <c r="O1627" s="616"/>
      <c r="P1627" s="616"/>
      <c r="Q1627" s="616"/>
      <c r="AA1627" s="624"/>
      <c r="AB1627" s="663">
        <v>39083007300</v>
      </c>
      <c r="AC1627" s="663" t="s">
        <v>6559</v>
      </c>
      <c r="AD1627" s="663" t="s">
        <v>4938</v>
      </c>
      <c r="AE1627" s="663" t="s">
        <v>4931</v>
      </c>
      <c r="AF1627" s="663" t="s">
        <v>4929</v>
      </c>
    </row>
    <row r="1628" spans="1:32" s="608" customFormat="1" x14ac:dyDescent="0.25">
      <c r="A1628" s="624"/>
      <c r="B1628" s="617">
        <v>39067975600</v>
      </c>
      <c r="C1628" s="617" t="s">
        <v>3296</v>
      </c>
      <c r="D1628" s="617" t="s">
        <v>58</v>
      </c>
      <c r="E1628" s="617" t="s">
        <v>1672</v>
      </c>
      <c r="F1628" s="617" t="s">
        <v>26</v>
      </c>
      <c r="G1628" s="624"/>
      <c r="O1628" s="616"/>
      <c r="P1628" s="616"/>
      <c r="Q1628" s="616"/>
      <c r="AA1628" s="624"/>
      <c r="AB1628" s="663">
        <v>39083007400</v>
      </c>
      <c r="AC1628" s="663" t="s">
        <v>6560</v>
      </c>
      <c r="AD1628" s="663" t="s">
        <v>4950</v>
      </c>
      <c r="AE1628" s="663" t="s">
        <v>4939</v>
      </c>
      <c r="AF1628" s="663" t="s">
        <v>4929</v>
      </c>
    </row>
    <row r="1629" spans="1:32" s="608" customFormat="1" x14ac:dyDescent="0.25">
      <c r="A1629" s="624"/>
      <c r="B1629" s="617">
        <v>39067975700</v>
      </c>
      <c r="C1629" s="617" t="s">
        <v>3297</v>
      </c>
      <c r="D1629" s="617" t="s">
        <v>58</v>
      </c>
      <c r="E1629" s="617" t="s">
        <v>1672</v>
      </c>
      <c r="F1629" s="617" t="s">
        <v>26</v>
      </c>
      <c r="G1629" s="624"/>
      <c r="O1629" s="616"/>
      <c r="P1629" s="616"/>
      <c r="Q1629" s="616"/>
      <c r="AA1629" s="624"/>
      <c r="AB1629" s="663">
        <v>39083007500</v>
      </c>
      <c r="AC1629" s="663" t="s">
        <v>6561</v>
      </c>
      <c r="AD1629" s="663" t="s">
        <v>4948</v>
      </c>
      <c r="AE1629" s="663" t="s">
        <v>4931</v>
      </c>
      <c r="AF1629" s="663" t="s">
        <v>4929</v>
      </c>
    </row>
    <row r="1630" spans="1:32" s="608" customFormat="1" x14ac:dyDescent="0.25">
      <c r="A1630" s="624"/>
      <c r="B1630" s="617">
        <v>39067975800</v>
      </c>
      <c r="C1630" s="617" t="s">
        <v>3298</v>
      </c>
      <c r="D1630" s="617" t="s">
        <v>58</v>
      </c>
      <c r="E1630" s="617" t="s">
        <v>1672</v>
      </c>
      <c r="F1630" s="617" t="s">
        <v>26</v>
      </c>
      <c r="G1630" s="624"/>
      <c r="O1630" s="616"/>
      <c r="P1630" s="616"/>
      <c r="Q1630" s="616"/>
      <c r="AA1630" s="624"/>
      <c r="AB1630" s="663">
        <v>39083007600</v>
      </c>
      <c r="AC1630" s="663" t="s">
        <v>6562</v>
      </c>
      <c r="AD1630" s="663" t="s">
        <v>4927</v>
      </c>
      <c r="AE1630" s="663" t="s">
        <v>4934</v>
      </c>
      <c r="AF1630" s="663" t="s">
        <v>4929</v>
      </c>
    </row>
    <row r="1631" spans="1:32" s="608" customFormat="1" x14ac:dyDescent="0.25">
      <c r="A1631" s="624"/>
      <c r="B1631" s="617">
        <v>39067975900</v>
      </c>
      <c r="C1631" s="617" t="s">
        <v>3299</v>
      </c>
      <c r="D1631" s="617" t="s">
        <v>58</v>
      </c>
      <c r="E1631" s="617" t="s">
        <v>1672</v>
      </c>
      <c r="F1631" s="617" t="s">
        <v>26</v>
      </c>
      <c r="G1631" s="624"/>
      <c r="O1631" s="616"/>
      <c r="P1631" s="616"/>
      <c r="Q1631" s="616"/>
      <c r="AA1631" s="624"/>
      <c r="AB1631" s="663">
        <v>39083007700</v>
      </c>
      <c r="AC1631" s="663" t="s">
        <v>6563</v>
      </c>
      <c r="AD1631" s="663" t="s">
        <v>4948</v>
      </c>
      <c r="AE1631" s="663" t="s">
        <v>4939</v>
      </c>
      <c r="AF1631" s="663" t="s">
        <v>4929</v>
      </c>
    </row>
    <row r="1632" spans="1:32" s="608" customFormat="1" x14ac:dyDescent="0.25">
      <c r="A1632" s="624"/>
      <c r="B1632" s="617">
        <v>39067976000</v>
      </c>
      <c r="C1632" s="617" t="s">
        <v>3300</v>
      </c>
      <c r="D1632" s="617" t="s">
        <v>58</v>
      </c>
      <c r="E1632" s="617" t="s">
        <v>1672</v>
      </c>
      <c r="F1632" s="617" t="s">
        <v>26</v>
      </c>
      <c r="G1632" s="624"/>
      <c r="O1632" s="616"/>
      <c r="P1632" s="616"/>
      <c r="Q1632" s="616"/>
      <c r="AA1632" s="624"/>
      <c r="AB1632" s="663">
        <v>39085200100</v>
      </c>
      <c r="AC1632" s="663" t="s">
        <v>6564</v>
      </c>
      <c r="AD1632" s="663" t="s">
        <v>4948</v>
      </c>
      <c r="AE1632" s="663" t="s">
        <v>4934</v>
      </c>
      <c r="AF1632" s="663" t="s">
        <v>4946</v>
      </c>
    </row>
    <row r="1633" spans="1:32" s="608" customFormat="1" x14ac:dyDescent="0.25">
      <c r="A1633" s="624"/>
      <c r="B1633" s="617">
        <v>39069000100</v>
      </c>
      <c r="C1633" s="617" t="s">
        <v>3301</v>
      </c>
      <c r="D1633" s="617" t="s">
        <v>59</v>
      </c>
      <c r="E1633" s="617" t="s">
        <v>1672</v>
      </c>
      <c r="F1633" s="617" t="s">
        <v>26</v>
      </c>
      <c r="G1633" s="624"/>
      <c r="O1633" s="616"/>
      <c r="P1633" s="616"/>
      <c r="Q1633" s="616"/>
      <c r="AA1633" s="624"/>
      <c r="AB1633" s="663">
        <v>39085200200</v>
      </c>
      <c r="AC1633" s="663" t="s">
        <v>6565</v>
      </c>
      <c r="AD1633" s="663" t="s">
        <v>4950</v>
      </c>
      <c r="AE1633" s="663" t="s">
        <v>4934</v>
      </c>
      <c r="AF1633" s="663" t="s">
        <v>4946</v>
      </c>
    </row>
    <row r="1634" spans="1:32" s="608" customFormat="1" x14ac:dyDescent="0.25">
      <c r="A1634" s="624"/>
      <c r="B1634" s="617">
        <v>39069000200</v>
      </c>
      <c r="C1634" s="617" t="s">
        <v>3302</v>
      </c>
      <c r="D1634" s="617" t="s">
        <v>59</v>
      </c>
      <c r="E1634" s="617" t="s">
        <v>1672</v>
      </c>
      <c r="F1634" s="617" t="s">
        <v>26</v>
      </c>
      <c r="G1634" s="624"/>
      <c r="O1634" s="616"/>
      <c r="P1634" s="616"/>
      <c r="Q1634" s="616"/>
      <c r="AA1634" s="624"/>
      <c r="AB1634" s="663">
        <v>39085200300</v>
      </c>
      <c r="AC1634" s="663" t="s">
        <v>6566</v>
      </c>
      <c r="AD1634" s="663" t="s">
        <v>4941</v>
      </c>
      <c r="AE1634" s="663" t="s">
        <v>4931</v>
      </c>
      <c r="AF1634" s="663" t="s">
        <v>4946</v>
      </c>
    </row>
    <row r="1635" spans="1:32" s="608" customFormat="1" x14ac:dyDescent="0.25">
      <c r="A1635" s="624"/>
      <c r="B1635" s="617">
        <v>39069000300</v>
      </c>
      <c r="C1635" s="617" t="s">
        <v>3303</v>
      </c>
      <c r="D1635" s="617" t="s">
        <v>59</v>
      </c>
      <c r="E1635" s="617" t="s">
        <v>1672</v>
      </c>
      <c r="F1635" s="617" t="s">
        <v>26</v>
      </c>
      <c r="G1635" s="624"/>
      <c r="O1635" s="616"/>
      <c r="P1635" s="616"/>
      <c r="Q1635" s="616"/>
      <c r="AA1635" s="624"/>
      <c r="AB1635" s="663">
        <v>39085200400</v>
      </c>
      <c r="AC1635" s="663" t="s">
        <v>6567</v>
      </c>
      <c r="AD1635" s="663" t="s">
        <v>4948</v>
      </c>
      <c r="AE1635" s="663" t="s">
        <v>4928</v>
      </c>
      <c r="AF1635" s="663" t="s">
        <v>4946</v>
      </c>
    </row>
    <row r="1636" spans="1:32" s="608" customFormat="1" x14ac:dyDescent="0.25">
      <c r="A1636" s="624"/>
      <c r="B1636" s="617">
        <v>39069000400</v>
      </c>
      <c r="C1636" s="617" t="s">
        <v>3304</v>
      </c>
      <c r="D1636" s="617" t="s">
        <v>59</v>
      </c>
      <c r="E1636" s="617" t="s">
        <v>1672</v>
      </c>
      <c r="F1636" s="617" t="s">
        <v>26</v>
      </c>
      <c r="G1636" s="624"/>
      <c r="O1636" s="616"/>
      <c r="P1636" s="616"/>
      <c r="Q1636" s="616"/>
      <c r="AA1636" s="624"/>
      <c r="AB1636" s="663">
        <v>39085200500</v>
      </c>
      <c r="AC1636" s="663" t="s">
        <v>6568</v>
      </c>
      <c r="AD1636" s="663" t="s">
        <v>4941</v>
      </c>
      <c r="AE1636" s="663" t="s">
        <v>4939</v>
      </c>
      <c r="AF1636" s="663" t="s">
        <v>4946</v>
      </c>
    </row>
    <row r="1637" spans="1:32" s="608" customFormat="1" x14ac:dyDescent="0.25">
      <c r="A1637" s="624"/>
      <c r="B1637" s="617">
        <v>39069000500</v>
      </c>
      <c r="C1637" s="617" t="s">
        <v>3305</v>
      </c>
      <c r="D1637" s="617" t="s">
        <v>59</v>
      </c>
      <c r="E1637" s="617" t="s">
        <v>1672</v>
      </c>
      <c r="F1637" s="617" t="s">
        <v>26</v>
      </c>
      <c r="G1637" s="624"/>
      <c r="O1637" s="616"/>
      <c r="P1637" s="616"/>
      <c r="Q1637" s="616"/>
      <c r="AA1637" s="624"/>
      <c r="AB1637" s="663">
        <v>39085200600</v>
      </c>
      <c r="AC1637" s="663" t="s">
        <v>6569</v>
      </c>
      <c r="AD1637" s="663" t="s">
        <v>4941</v>
      </c>
      <c r="AE1637" s="663" t="s">
        <v>4931</v>
      </c>
      <c r="AF1637" s="663" t="s">
        <v>4946</v>
      </c>
    </row>
    <row r="1638" spans="1:32" s="608" customFormat="1" x14ac:dyDescent="0.25">
      <c r="A1638" s="624"/>
      <c r="B1638" s="617">
        <v>39069000600</v>
      </c>
      <c r="C1638" s="617" t="s">
        <v>3306</v>
      </c>
      <c r="D1638" s="617" t="s">
        <v>59</v>
      </c>
      <c r="E1638" s="617" t="s">
        <v>1672</v>
      </c>
      <c r="F1638" s="617" t="s">
        <v>26</v>
      </c>
      <c r="G1638" s="624"/>
      <c r="O1638" s="616"/>
      <c r="P1638" s="616"/>
      <c r="Q1638" s="616"/>
      <c r="AA1638" s="624"/>
      <c r="AB1638" s="663">
        <v>39085200700</v>
      </c>
      <c r="AC1638" s="663" t="s">
        <v>6570</v>
      </c>
      <c r="AD1638" s="663" t="s">
        <v>4941</v>
      </c>
      <c r="AE1638" s="663" t="s">
        <v>4939</v>
      </c>
      <c r="AF1638" s="663" t="s">
        <v>4946</v>
      </c>
    </row>
    <row r="1639" spans="1:32" s="608" customFormat="1" x14ac:dyDescent="0.25">
      <c r="A1639" s="624"/>
      <c r="B1639" s="617">
        <v>39069000700</v>
      </c>
      <c r="C1639" s="617" t="s">
        <v>3307</v>
      </c>
      <c r="D1639" s="617" t="s">
        <v>59</v>
      </c>
      <c r="E1639" s="617" t="s">
        <v>1672</v>
      </c>
      <c r="F1639" s="617" t="s">
        <v>26</v>
      </c>
      <c r="G1639" s="624"/>
      <c r="O1639" s="616"/>
      <c r="P1639" s="616"/>
      <c r="Q1639" s="616"/>
      <c r="AA1639" s="624"/>
      <c r="AB1639" s="663">
        <v>39085200800</v>
      </c>
      <c r="AC1639" s="663" t="s">
        <v>6571</v>
      </c>
      <c r="AD1639" s="663" t="s">
        <v>4948</v>
      </c>
      <c r="AE1639" s="663" t="s">
        <v>4928</v>
      </c>
      <c r="AF1639" s="663" t="s">
        <v>4946</v>
      </c>
    </row>
    <row r="1640" spans="1:32" s="608" customFormat="1" x14ac:dyDescent="0.25">
      <c r="A1640" s="624"/>
      <c r="B1640" s="617">
        <v>39071954400</v>
      </c>
      <c r="C1640" s="617" t="s">
        <v>3308</v>
      </c>
      <c r="D1640" s="617" t="s">
        <v>60</v>
      </c>
      <c r="E1640" s="617" t="s">
        <v>1672</v>
      </c>
      <c r="F1640" s="617" t="s">
        <v>26</v>
      </c>
      <c r="G1640" s="624"/>
      <c r="O1640" s="616"/>
      <c r="P1640" s="616"/>
      <c r="Q1640" s="616"/>
      <c r="AA1640" s="624"/>
      <c r="AB1640" s="663">
        <v>39085200900</v>
      </c>
      <c r="AC1640" s="663" t="s">
        <v>6572</v>
      </c>
      <c r="AD1640" s="663" t="s">
        <v>4941</v>
      </c>
      <c r="AE1640" s="663" t="s">
        <v>4942</v>
      </c>
      <c r="AF1640" s="663" t="s">
        <v>4946</v>
      </c>
    </row>
    <row r="1641" spans="1:32" s="608" customFormat="1" x14ac:dyDescent="0.25">
      <c r="A1641" s="624"/>
      <c r="B1641" s="617">
        <v>39071954500</v>
      </c>
      <c r="C1641" s="617" t="s">
        <v>3309</v>
      </c>
      <c r="D1641" s="617" t="s">
        <v>60</v>
      </c>
      <c r="E1641" s="617" t="s">
        <v>1672</v>
      </c>
      <c r="F1641" s="617" t="s">
        <v>24</v>
      </c>
      <c r="G1641" s="624"/>
      <c r="O1641" s="616"/>
      <c r="P1641" s="616"/>
      <c r="Q1641" s="616"/>
      <c r="AA1641" s="624"/>
      <c r="AB1641" s="663">
        <v>39085201000</v>
      </c>
      <c r="AC1641" s="663" t="s">
        <v>6573</v>
      </c>
      <c r="AD1641" s="663" t="s">
        <v>4941</v>
      </c>
      <c r="AE1641" s="663" t="s">
        <v>4931</v>
      </c>
      <c r="AF1641" s="663" t="s">
        <v>4946</v>
      </c>
    </row>
    <row r="1642" spans="1:32" s="608" customFormat="1" x14ac:dyDescent="0.25">
      <c r="A1642" s="624"/>
      <c r="B1642" s="617">
        <v>39071954600</v>
      </c>
      <c r="C1642" s="617" t="s">
        <v>3310</v>
      </c>
      <c r="D1642" s="617" t="s">
        <v>60</v>
      </c>
      <c r="E1642" s="617" t="s">
        <v>1672</v>
      </c>
      <c r="F1642" s="617" t="s">
        <v>26</v>
      </c>
      <c r="G1642" s="624"/>
      <c r="O1642" s="616"/>
      <c r="P1642" s="616"/>
      <c r="Q1642" s="616"/>
      <c r="AA1642" s="624"/>
      <c r="AB1642" s="663">
        <v>39085201100</v>
      </c>
      <c r="AC1642" s="663" t="s">
        <v>6574</v>
      </c>
      <c r="AD1642" s="663" t="s">
        <v>4941</v>
      </c>
      <c r="AE1642" s="663" t="s">
        <v>4928</v>
      </c>
      <c r="AF1642" s="663" t="s">
        <v>4946</v>
      </c>
    </row>
    <row r="1643" spans="1:32" s="608" customFormat="1" x14ac:dyDescent="0.25">
      <c r="A1643" s="624"/>
      <c r="B1643" s="617">
        <v>39071954700</v>
      </c>
      <c r="C1643" s="617" t="s">
        <v>3311</v>
      </c>
      <c r="D1643" s="617" t="s">
        <v>60</v>
      </c>
      <c r="E1643" s="617" t="s">
        <v>1672</v>
      </c>
      <c r="F1643" s="617" t="s">
        <v>26</v>
      </c>
      <c r="G1643" s="624"/>
      <c r="O1643" s="616"/>
      <c r="P1643" s="616"/>
      <c r="Q1643" s="616"/>
      <c r="AA1643" s="624"/>
      <c r="AB1643" s="663">
        <v>39085201200</v>
      </c>
      <c r="AC1643" s="663" t="s">
        <v>6575</v>
      </c>
      <c r="AD1643" s="663" t="s">
        <v>4938</v>
      </c>
      <c r="AE1643" s="663" t="s">
        <v>4934</v>
      </c>
      <c r="AF1643" s="663" t="s">
        <v>4946</v>
      </c>
    </row>
    <row r="1644" spans="1:32" s="608" customFormat="1" x14ac:dyDescent="0.25">
      <c r="A1644" s="624"/>
      <c r="B1644" s="617">
        <v>39071954800</v>
      </c>
      <c r="C1644" s="617" t="s">
        <v>3312</v>
      </c>
      <c r="D1644" s="617" t="s">
        <v>60</v>
      </c>
      <c r="E1644" s="617" t="s">
        <v>1672</v>
      </c>
      <c r="F1644" s="617" t="s">
        <v>26</v>
      </c>
      <c r="G1644" s="624"/>
      <c r="O1644" s="616"/>
      <c r="P1644" s="616"/>
      <c r="Q1644" s="616"/>
      <c r="AA1644" s="624"/>
      <c r="AB1644" s="663">
        <v>39085201300</v>
      </c>
      <c r="AC1644" s="663" t="s">
        <v>6576</v>
      </c>
      <c r="AD1644" s="663" t="s">
        <v>4941</v>
      </c>
      <c r="AE1644" s="663" t="s">
        <v>4931</v>
      </c>
      <c r="AF1644" s="663" t="s">
        <v>4946</v>
      </c>
    </row>
    <row r="1645" spans="1:32" s="608" customFormat="1" x14ac:dyDescent="0.25">
      <c r="A1645" s="624"/>
      <c r="B1645" s="617">
        <v>39071954900</v>
      </c>
      <c r="C1645" s="617" t="s">
        <v>3313</v>
      </c>
      <c r="D1645" s="617" t="s">
        <v>60</v>
      </c>
      <c r="E1645" s="617" t="s">
        <v>1672</v>
      </c>
      <c r="F1645" s="617" t="s">
        <v>26</v>
      </c>
      <c r="G1645" s="624"/>
      <c r="O1645" s="616"/>
      <c r="P1645" s="616"/>
      <c r="Q1645" s="616"/>
      <c r="AA1645" s="624"/>
      <c r="AB1645" s="663">
        <v>39085201400</v>
      </c>
      <c r="AC1645" s="663" t="s">
        <v>6577</v>
      </c>
      <c r="AD1645" s="663" t="s">
        <v>4941</v>
      </c>
      <c r="AE1645" s="663" t="s">
        <v>4931</v>
      </c>
      <c r="AF1645" s="663" t="s">
        <v>4946</v>
      </c>
    </row>
    <row r="1646" spans="1:32" s="608" customFormat="1" x14ac:dyDescent="0.25">
      <c r="A1646" s="624"/>
      <c r="B1646" s="617">
        <v>39071955001</v>
      </c>
      <c r="C1646" s="617" t="s">
        <v>3314</v>
      </c>
      <c r="D1646" s="617" t="s">
        <v>60</v>
      </c>
      <c r="E1646" s="617" t="s">
        <v>1672</v>
      </c>
      <c r="F1646" s="617" t="s">
        <v>24</v>
      </c>
      <c r="G1646" s="624"/>
      <c r="O1646" s="616"/>
      <c r="P1646" s="616"/>
      <c r="Q1646" s="616"/>
      <c r="AA1646" s="624"/>
      <c r="AB1646" s="663">
        <v>39085201500</v>
      </c>
      <c r="AC1646" s="663" t="s">
        <v>6578</v>
      </c>
      <c r="AD1646" s="663" t="s">
        <v>4941</v>
      </c>
      <c r="AE1646" s="663" t="s">
        <v>4931</v>
      </c>
      <c r="AF1646" s="663" t="s">
        <v>4946</v>
      </c>
    </row>
    <row r="1647" spans="1:32" s="608" customFormat="1" x14ac:dyDescent="0.25">
      <c r="A1647" s="624"/>
      <c r="B1647" s="617">
        <v>39071955002</v>
      </c>
      <c r="C1647" s="617" t="s">
        <v>3315</v>
      </c>
      <c r="D1647" s="617" t="s">
        <v>60</v>
      </c>
      <c r="E1647" s="617" t="s">
        <v>1672</v>
      </c>
      <c r="F1647" s="617" t="s">
        <v>24</v>
      </c>
      <c r="G1647" s="624"/>
      <c r="O1647" s="616"/>
      <c r="P1647" s="616"/>
      <c r="Q1647" s="616"/>
      <c r="AA1647" s="624"/>
      <c r="AB1647" s="663">
        <v>39085201600</v>
      </c>
      <c r="AC1647" s="663" t="s">
        <v>6579</v>
      </c>
      <c r="AD1647" s="663" t="s">
        <v>4948</v>
      </c>
      <c r="AE1647" s="663" t="s">
        <v>4939</v>
      </c>
      <c r="AF1647" s="663" t="s">
        <v>4946</v>
      </c>
    </row>
    <row r="1648" spans="1:32" s="608" customFormat="1" x14ac:dyDescent="0.25">
      <c r="A1648" s="624"/>
      <c r="B1648" s="617">
        <v>39071955101</v>
      </c>
      <c r="C1648" s="617" t="s">
        <v>3316</v>
      </c>
      <c r="D1648" s="617" t="s">
        <v>60</v>
      </c>
      <c r="E1648" s="617" t="s">
        <v>1672</v>
      </c>
      <c r="F1648" s="617" t="s">
        <v>26</v>
      </c>
      <c r="G1648" s="624"/>
      <c r="O1648" s="616"/>
      <c r="P1648" s="616"/>
      <c r="Q1648" s="616"/>
      <c r="AA1648" s="624"/>
      <c r="AB1648" s="663">
        <v>39085201700</v>
      </c>
      <c r="AC1648" s="663" t="s">
        <v>6580</v>
      </c>
      <c r="AD1648" s="663" t="s">
        <v>4950</v>
      </c>
      <c r="AE1648" s="663" t="s">
        <v>4942</v>
      </c>
      <c r="AF1648" s="663" t="s">
        <v>4946</v>
      </c>
    </row>
    <row r="1649" spans="1:32" s="608" customFormat="1" x14ac:dyDescent="0.25">
      <c r="A1649" s="624"/>
      <c r="B1649" s="617">
        <v>39071955102</v>
      </c>
      <c r="C1649" s="617" t="s">
        <v>3317</v>
      </c>
      <c r="D1649" s="617" t="s">
        <v>60</v>
      </c>
      <c r="E1649" s="617" t="s">
        <v>1672</v>
      </c>
      <c r="F1649" s="617" t="s">
        <v>26</v>
      </c>
      <c r="G1649" s="624"/>
      <c r="O1649" s="616"/>
      <c r="P1649" s="616"/>
      <c r="Q1649" s="616"/>
      <c r="AA1649" s="624"/>
      <c r="AB1649" s="663">
        <v>39085201800</v>
      </c>
      <c r="AC1649" s="663" t="s">
        <v>6581</v>
      </c>
      <c r="AD1649" s="663" t="s">
        <v>4948</v>
      </c>
      <c r="AE1649" s="663" t="s">
        <v>4942</v>
      </c>
      <c r="AF1649" s="663" t="s">
        <v>4946</v>
      </c>
    </row>
    <row r="1650" spans="1:32" s="608" customFormat="1" x14ac:dyDescent="0.25">
      <c r="A1650" s="624"/>
      <c r="B1650" s="617">
        <v>39071955200</v>
      </c>
      <c r="C1650" s="617" t="s">
        <v>3318</v>
      </c>
      <c r="D1650" s="617" t="s">
        <v>60</v>
      </c>
      <c r="E1650" s="617" t="s">
        <v>1672</v>
      </c>
      <c r="F1650" s="617" t="s">
        <v>26</v>
      </c>
      <c r="G1650" s="624"/>
      <c r="O1650" s="616"/>
      <c r="P1650" s="616"/>
      <c r="Q1650" s="616"/>
      <c r="AA1650" s="624"/>
      <c r="AB1650" s="663">
        <v>39085201900</v>
      </c>
      <c r="AC1650" s="663" t="s">
        <v>6582</v>
      </c>
      <c r="AD1650" s="663" t="s">
        <v>4950</v>
      </c>
      <c r="AE1650" s="663" t="s">
        <v>4942</v>
      </c>
      <c r="AF1650" s="663" t="s">
        <v>4946</v>
      </c>
    </row>
    <row r="1651" spans="1:32" s="608" customFormat="1" x14ac:dyDescent="0.25">
      <c r="A1651" s="624"/>
      <c r="B1651" s="617">
        <v>39073964900</v>
      </c>
      <c r="C1651" s="617" t="s">
        <v>3319</v>
      </c>
      <c r="D1651" s="617" t="s">
        <v>61</v>
      </c>
      <c r="E1651" s="617" t="s">
        <v>4854</v>
      </c>
      <c r="F1651" s="617" t="s">
        <v>26</v>
      </c>
      <c r="G1651" s="624"/>
      <c r="O1651" s="616"/>
      <c r="P1651" s="616"/>
      <c r="Q1651" s="616"/>
      <c r="AA1651" s="624"/>
      <c r="AB1651" s="663">
        <v>39085202000</v>
      </c>
      <c r="AC1651" s="663" t="s">
        <v>6583</v>
      </c>
      <c r="AD1651" s="663" t="s">
        <v>4950</v>
      </c>
      <c r="AE1651" s="663" t="s">
        <v>4934</v>
      </c>
      <c r="AF1651" s="663" t="s">
        <v>4946</v>
      </c>
    </row>
    <row r="1652" spans="1:32" s="608" customFormat="1" x14ac:dyDescent="0.25">
      <c r="A1652" s="624"/>
      <c r="B1652" s="617">
        <v>39073965000</v>
      </c>
      <c r="C1652" s="617" t="s">
        <v>3320</v>
      </c>
      <c r="D1652" s="617" t="s">
        <v>61</v>
      </c>
      <c r="E1652" s="617" t="s">
        <v>4854</v>
      </c>
      <c r="F1652" s="617" t="s">
        <v>26</v>
      </c>
      <c r="G1652" s="624"/>
      <c r="O1652" s="616"/>
      <c r="P1652" s="616"/>
      <c r="Q1652" s="616"/>
      <c r="AA1652" s="624"/>
      <c r="AB1652" s="663">
        <v>39085202100</v>
      </c>
      <c r="AC1652" s="663" t="s">
        <v>6584</v>
      </c>
      <c r="AD1652" s="663" t="s">
        <v>4950</v>
      </c>
      <c r="AE1652" s="663" t="s">
        <v>4942</v>
      </c>
      <c r="AF1652" s="663" t="s">
        <v>4946</v>
      </c>
    </row>
    <row r="1653" spans="1:32" s="608" customFormat="1" x14ac:dyDescent="0.25">
      <c r="A1653" s="624"/>
      <c r="B1653" s="617">
        <v>39073965100</v>
      </c>
      <c r="C1653" s="617" t="s">
        <v>3321</v>
      </c>
      <c r="D1653" s="617" t="s">
        <v>61</v>
      </c>
      <c r="E1653" s="617" t="s">
        <v>4854</v>
      </c>
      <c r="F1653" s="617" t="s">
        <v>26</v>
      </c>
      <c r="G1653" s="624"/>
      <c r="O1653" s="616"/>
      <c r="P1653" s="616"/>
      <c r="Q1653" s="616"/>
      <c r="AA1653" s="624"/>
      <c r="AB1653" s="663">
        <v>39085202400</v>
      </c>
      <c r="AC1653" s="663" t="s">
        <v>6585</v>
      </c>
      <c r="AD1653" s="663" t="s">
        <v>4941</v>
      </c>
      <c r="AE1653" s="663" t="s">
        <v>4939</v>
      </c>
      <c r="AF1653" s="663" t="s">
        <v>4946</v>
      </c>
    </row>
    <row r="1654" spans="1:32" s="608" customFormat="1" x14ac:dyDescent="0.25">
      <c r="A1654" s="624"/>
      <c r="B1654" s="617">
        <v>39073965200</v>
      </c>
      <c r="C1654" s="617" t="s">
        <v>3322</v>
      </c>
      <c r="D1654" s="617" t="s">
        <v>61</v>
      </c>
      <c r="E1654" s="617" t="s">
        <v>4854</v>
      </c>
      <c r="F1654" s="617" t="s">
        <v>26</v>
      </c>
      <c r="G1654" s="624"/>
      <c r="O1654" s="616"/>
      <c r="P1654" s="616"/>
      <c r="Q1654" s="616"/>
      <c r="AA1654" s="624"/>
      <c r="AB1654" s="663">
        <v>39085202500</v>
      </c>
      <c r="AC1654" s="663" t="s">
        <v>6586</v>
      </c>
      <c r="AD1654" s="663" t="s">
        <v>4948</v>
      </c>
      <c r="AE1654" s="663" t="s">
        <v>4931</v>
      </c>
      <c r="AF1654" s="663" t="s">
        <v>4946</v>
      </c>
    </row>
    <row r="1655" spans="1:32" s="608" customFormat="1" x14ac:dyDescent="0.25">
      <c r="A1655" s="624"/>
      <c r="B1655" s="617">
        <v>39073965300</v>
      </c>
      <c r="C1655" s="617" t="s">
        <v>3323</v>
      </c>
      <c r="D1655" s="617" t="s">
        <v>61</v>
      </c>
      <c r="E1655" s="617" t="s">
        <v>4854</v>
      </c>
      <c r="F1655" s="617" t="s">
        <v>26</v>
      </c>
      <c r="G1655" s="624"/>
      <c r="O1655" s="616"/>
      <c r="P1655" s="616"/>
      <c r="Q1655" s="616"/>
      <c r="AA1655" s="624"/>
      <c r="AB1655" s="663">
        <v>39085202600</v>
      </c>
      <c r="AC1655" s="663" t="s">
        <v>6587</v>
      </c>
      <c r="AD1655" s="663" t="s">
        <v>4948</v>
      </c>
      <c r="AE1655" s="663" t="s">
        <v>4928</v>
      </c>
      <c r="AF1655" s="663" t="s">
        <v>4946</v>
      </c>
    </row>
    <row r="1656" spans="1:32" s="608" customFormat="1" x14ac:dyDescent="0.25">
      <c r="A1656" s="624"/>
      <c r="B1656" s="617">
        <v>39073965400</v>
      </c>
      <c r="C1656" s="617" t="s">
        <v>3324</v>
      </c>
      <c r="D1656" s="617" t="s">
        <v>61</v>
      </c>
      <c r="E1656" s="617" t="s">
        <v>4854</v>
      </c>
      <c r="F1656" s="617" t="s">
        <v>26</v>
      </c>
      <c r="G1656" s="624"/>
      <c r="O1656" s="616"/>
      <c r="P1656" s="616"/>
      <c r="Q1656" s="616"/>
      <c r="AA1656" s="624"/>
      <c r="AB1656" s="663">
        <v>39085202700</v>
      </c>
      <c r="AC1656" s="663" t="s">
        <v>6588</v>
      </c>
      <c r="AD1656" s="663" t="s">
        <v>4941</v>
      </c>
      <c r="AE1656" s="663" t="s">
        <v>4942</v>
      </c>
      <c r="AF1656" s="663" t="s">
        <v>4946</v>
      </c>
    </row>
    <row r="1657" spans="1:32" s="608" customFormat="1" x14ac:dyDescent="0.25">
      <c r="A1657" s="624"/>
      <c r="B1657" s="617">
        <v>39073965500</v>
      </c>
      <c r="C1657" s="617" t="s">
        <v>3325</v>
      </c>
      <c r="D1657" s="617" t="s">
        <v>61</v>
      </c>
      <c r="E1657" s="617" t="s">
        <v>4854</v>
      </c>
      <c r="F1657" s="617" t="s">
        <v>26</v>
      </c>
      <c r="G1657" s="624"/>
      <c r="O1657" s="616"/>
      <c r="P1657" s="616"/>
      <c r="Q1657" s="616"/>
      <c r="AA1657" s="624"/>
      <c r="AB1657" s="663">
        <v>39085202800</v>
      </c>
      <c r="AC1657" s="663" t="s">
        <v>6589</v>
      </c>
      <c r="AD1657" s="663" t="s">
        <v>4938</v>
      </c>
      <c r="AE1657" s="663" t="s">
        <v>4928</v>
      </c>
      <c r="AF1657" s="663" t="s">
        <v>4946</v>
      </c>
    </row>
    <row r="1658" spans="1:32" s="608" customFormat="1" x14ac:dyDescent="0.25">
      <c r="A1658" s="624"/>
      <c r="B1658" s="617">
        <v>39075976301</v>
      </c>
      <c r="C1658" s="617" t="s">
        <v>3326</v>
      </c>
      <c r="D1658" s="617" t="s">
        <v>62</v>
      </c>
      <c r="E1658" s="617" t="s">
        <v>1672</v>
      </c>
      <c r="F1658" s="617" t="s">
        <v>26</v>
      </c>
      <c r="G1658" s="624"/>
      <c r="O1658" s="616"/>
      <c r="P1658" s="616"/>
      <c r="Q1658" s="616"/>
      <c r="AA1658" s="624"/>
      <c r="AB1658" s="663">
        <v>39085202900</v>
      </c>
      <c r="AC1658" s="663" t="s">
        <v>6590</v>
      </c>
      <c r="AD1658" s="663" t="s">
        <v>4941</v>
      </c>
      <c r="AE1658" s="663" t="s">
        <v>4942</v>
      </c>
      <c r="AF1658" s="663" t="s">
        <v>4946</v>
      </c>
    </row>
    <row r="1659" spans="1:32" s="608" customFormat="1" x14ac:dyDescent="0.25">
      <c r="A1659" s="624"/>
      <c r="B1659" s="617">
        <v>39075976302</v>
      </c>
      <c r="C1659" s="617" t="s">
        <v>3327</v>
      </c>
      <c r="D1659" s="617" t="s">
        <v>62</v>
      </c>
      <c r="E1659" s="617" t="s">
        <v>1672</v>
      </c>
      <c r="F1659" s="617" t="s">
        <v>26</v>
      </c>
      <c r="G1659" s="624"/>
      <c r="O1659" s="616"/>
      <c r="P1659" s="616"/>
      <c r="Q1659" s="616"/>
      <c r="AA1659" s="624"/>
      <c r="AB1659" s="663">
        <v>39085203000</v>
      </c>
      <c r="AC1659" s="663" t="s">
        <v>6591</v>
      </c>
      <c r="AD1659" s="663" t="s">
        <v>4941</v>
      </c>
      <c r="AE1659" s="663" t="s">
        <v>4934</v>
      </c>
      <c r="AF1659" s="663" t="s">
        <v>4946</v>
      </c>
    </row>
    <row r="1660" spans="1:32" s="608" customFormat="1" x14ac:dyDescent="0.25">
      <c r="A1660" s="624"/>
      <c r="B1660" s="617">
        <v>39075976401</v>
      </c>
      <c r="C1660" s="617" t="s">
        <v>3328</v>
      </c>
      <c r="D1660" s="617" t="s">
        <v>62</v>
      </c>
      <c r="E1660" s="617" t="s">
        <v>1672</v>
      </c>
      <c r="F1660" s="617" t="s">
        <v>26</v>
      </c>
      <c r="G1660" s="624"/>
      <c r="O1660" s="616"/>
      <c r="P1660" s="616"/>
      <c r="Q1660" s="616"/>
      <c r="AA1660" s="624"/>
      <c r="AB1660" s="663">
        <v>39085203200</v>
      </c>
      <c r="AC1660" s="663" t="s">
        <v>6592</v>
      </c>
      <c r="AD1660" s="663" t="s">
        <v>4941</v>
      </c>
      <c r="AE1660" s="663" t="s">
        <v>4942</v>
      </c>
      <c r="AF1660" s="663" t="s">
        <v>4946</v>
      </c>
    </row>
    <row r="1661" spans="1:32" s="608" customFormat="1" x14ac:dyDescent="0.25">
      <c r="A1661" s="624"/>
      <c r="B1661" s="617">
        <v>39075976402</v>
      </c>
      <c r="C1661" s="617" t="s">
        <v>3329</v>
      </c>
      <c r="D1661" s="617" t="s">
        <v>62</v>
      </c>
      <c r="E1661" s="617" t="s">
        <v>1672</v>
      </c>
      <c r="F1661" s="617" t="s">
        <v>26</v>
      </c>
      <c r="G1661" s="624"/>
      <c r="O1661" s="616"/>
      <c r="P1661" s="616"/>
      <c r="Q1661" s="616"/>
      <c r="AA1661" s="624"/>
      <c r="AB1661" s="663">
        <v>39085203400</v>
      </c>
      <c r="AC1661" s="663" t="s">
        <v>6593</v>
      </c>
      <c r="AD1661" s="663" t="s">
        <v>4941</v>
      </c>
      <c r="AE1661" s="663" t="s">
        <v>4942</v>
      </c>
      <c r="AF1661" s="663" t="s">
        <v>4946</v>
      </c>
    </row>
    <row r="1662" spans="1:32" s="608" customFormat="1" x14ac:dyDescent="0.25">
      <c r="A1662" s="624"/>
      <c r="B1662" s="617">
        <v>39075976403</v>
      </c>
      <c r="C1662" s="617" t="s">
        <v>3330</v>
      </c>
      <c r="D1662" s="617" t="s">
        <v>62</v>
      </c>
      <c r="E1662" s="617" t="s">
        <v>1672</v>
      </c>
      <c r="F1662" s="617" t="s">
        <v>26</v>
      </c>
      <c r="G1662" s="624"/>
      <c r="O1662" s="616"/>
      <c r="P1662" s="616"/>
      <c r="Q1662" s="616"/>
      <c r="AA1662" s="624"/>
      <c r="AB1662" s="663">
        <v>39085203500</v>
      </c>
      <c r="AC1662" s="663" t="s">
        <v>6594</v>
      </c>
      <c r="AD1662" s="663" t="s">
        <v>4938</v>
      </c>
      <c r="AE1662" s="663" t="s">
        <v>4934</v>
      </c>
      <c r="AF1662" s="663" t="s">
        <v>4946</v>
      </c>
    </row>
    <row r="1663" spans="1:32" s="608" customFormat="1" x14ac:dyDescent="0.25">
      <c r="A1663" s="624"/>
      <c r="B1663" s="617">
        <v>39075976500</v>
      </c>
      <c r="C1663" s="617" t="s">
        <v>3331</v>
      </c>
      <c r="D1663" s="617" t="s">
        <v>62</v>
      </c>
      <c r="E1663" s="617" t="s">
        <v>1672</v>
      </c>
      <c r="F1663" s="617" t="s">
        <v>26</v>
      </c>
      <c r="G1663" s="624"/>
      <c r="O1663" s="616"/>
      <c r="P1663" s="616"/>
      <c r="Q1663" s="616"/>
      <c r="AA1663" s="624"/>
      <c r="AB1663" s="663">
        <v>39085203700</v>
      </c>
      <c r="AC1663" s="663" t="s">
        <v>6595</v>
      </c>
      <c r="AD1663" s="663" t="s">
        <v>4941</v>
      </c>
      <c r="AE1663" s="663" t="s">
        <v>4942</v>
      </c>
      <c r="AF1663" s="663" t="s">
        <v>4946</v>
      </c>
    </row>
    <row r="1664" spans="1:32" s="608" customFormat="1" x14ac:dyDescent="0.25">
      <c r="A1664" s="624"/>
      <c r="B1664" s="617">
        <v>39075976600</v>
      </c>
      <c r="C1664" s="617" t="s">
        <v>3332</v>
      </c>
      <c r="D1664" s="617" t="s">
        <v>62</v>
      </c>
      <c r="E1664" s="617" t="s">
        <v>1672</v>
      </c>
      <c r="F1664" s="617" t="s">
        <v>26</v>
      </c>
      <c r="G1664" s="624"/>
      <c r="O1664" s="616"/>
      <c r="P1664" s="616"/>
      <c r="Q1664" s="616"/>
      <c r="AA1664" s="624"/>
      <c r="AB1664" s="663">
        <v>39085204000</v>
      </c>
      <c r="AC1664" s="663" t="s">
        <v>6596</v>
      </c>
      <c r="AD1664" s="663" t="s">
        <v>4950</v>
      </c>
      <c r="AE1664" s="663" t="s">
        <v>4928</v>
      </c>
      <c r="AF1664" s="663" t="s">
        <v>4946</v>
      </c>
    </row>
    <row r="1665" spans="1:32" s="608" customFormat="1" x14ac:dyDescent="0.25">
      <c r="A1665" s="624"/>
      <c r="B1665" s="617">
        <v>39075976700</v>
      </c>
      <c r="C1665" s="617" t="s">
        <v>3333</v>
      </c>
      <c r="D1665" s="617" t="s">
        <v>62</v>
      </c>
      <c r="E1665" s="617" t="s">
        <v>1672</v>
      </c>
      <c r="F1665" s="617" t="s">
        <v>26</v>
      </c>
      <c r="G1665" s="624"/>
      <c r="O1665" s="616"/>
      <c r="P1665" s="616"/>
      <c r="Q1665" s="616"/>
      <c r="AA1665" s="624"/>
      <c r="AB1665" s="663">
        <v>39085204200</v>
      </c>
      <c r="AC1665" s="663" t="s">
        <v>6597</v>
      </c>
      <c r="AD1665" s="663" t="s">
        <v>4927</v>
      </c>
      <c r="AE1665" s="663" t="s">
        <v>4939</v>
      </c>
      <c r="AF1665" s="663" t="s">
        <v>4946</v>
      </c>
    </row>
    <row r="1666" spans="1:32" s="608" customFormat="1" x14ac:dyDescent="0.25">
      <c r="A1666" s="624"/>
      <c r="B1666" s="617">
        <v>39075976801</v>
      </c>
      <c r="C1666" s="617" t="s">
        <v>3334</v>
      </c>
      <c r="D1666" s="617" t="s">
        <v>62</v>
      </c>
      <c r="E1666" s="617" t="s">
        <v>1672</v>
      </c>
      <c r="F1666" s="617" t="s">
        <v>26</v>
      </c>
      <c r="G1666" s="624"/>
      <c r="O1666" s="616"/>
      <c r="P1666" s="616"/>
      <c r="Q1666" s="616"/>
      <c r="AA1666" s="624"/>
      <c r="AB1666" s="663">
        <v>39085204301</v>
      </c>
      <c r="AC1666" s="663" t="s">
        <v>6598</v>
      </c>
      <c r="AD1666" s="663" t="s">
        <v>4938</v>
      </c>
      <c r="AE1666" s="663" t="s">
        <v>4928</v>
      </c>
      <c r="AF1666" s="663" t="s">
        <v>4946</v>
      </c>
    </row>
    <row r="1667" spans="1:32" s="608" customFormat="1" x14ac:dyDescent="0.25">
      <c r="A1667" s="624"/>
      <c r="B1667" s="617">
        <v>39075976802</v>
      </c>
      <c r="C1667" s="617" t="s">
        <v>3335</v>
      </c>
      <c r="D1667" s="617" t="s">
        <v>62</v>
      </c>
      <c r="E1667" s="617" t="s">
        <v>1672</v>
      </c>
      <c r="F1667" s="617" t="s">
        <v>26</v>
      </c>
      <c r="G1667" s="624"/>
      <c r="O1667" s="616"/>
      <c r="P1667" s="616"/>
      <c r="Q1667" s="616"/>
      <c r="AA1667" s="624"/>
      <c r="AB1667" s="663">
        <v>39085204302</v>
      </c>
      <c r="AC1667" s="663" t="s">
        <v>6599</v>
      </c>
      <c r="AD1667" s="663" t="s">
        <v>4927</v>
      </c>
      <c r="AE1667" s="663" t="s">
        <v>4942</v>
      </c>
      <c r="AF1667" s="663" t="s">
        <v>4946</v>
      </c>
    </row>
    <row r="1668" spans="1:32" s="608" customFormat="1" x14ac:dyDescent="0.25">
      <c r="A1668" s="624"/>
      <c r="B1668" s="617">
        <v>39077915400</v>
      </c>
      <c r="C1668" s="617" t="s">
        <v>3336</v>
      </c>
      <c r="D1668" s="617" t="s">
        <v>63</v>
      </c>
      <c r="E1668" s="617" t="s">
        <v>1672</v>
      </c>
      <c r="F1668" s="617" t="s">
        <v>26</v>
      </c>
      <c r="G1668" s="624"/>
      <c r="O1668" s="616"/>
      <c r="P1668" s="616"/>
      <c r="Q1668" s="616"/>
      <c r="AA1668" s="624"/>
      <c r="AB1668" s="663">
        <v>39085204400</v>
      </c>
      <c r="AC1668" s="663" t="s">
        <v>6600</v>
      </c>
      <c r="AD1668" s="663" t="s">
        <v>4927</v>
      </c>
      <c r="AE1668" s="663" t="s">
        <v>4942</v>
      </c>
      <c r="AF1668" s="663" t="s">
        <v>4946</v>
      </c>
    </row>
    <row r="1669" spans="1:32" s="608" customFormat="1" x14ac:dyDescent="0.25">
      <c r="A1669" s="624"/>
      <c r="B1669" s="617">
        <v>39077915500</v>
      </c>
      <c r="C1669" s="617" t="s">
        <v>3337</v>
      </c>
      <c r="D1669" s="617" t="s">
        <v>63</v>
      </c>
      <c r="E1669" s="617" t="s">
        <v>1672</v>
      </c>
      <c r="F1669" s="617" t="s">
        <v>26</v>
      </c>
      <c r="G1669" s="624"/>
      <c r="O1669" s="616"/>
      <c r="P1669" s="616"/>
      <c r="Q1669" s="616"/>
      <c r="AA1669" s="624"/>
      <c r="AB1669" s="663">
        <v>39085204500</v>
      </c>
      <c r="AC1669" s="663" t="s">
        <v>6601</v>
      </c>
      <c r="AD1669" s="663" t="s">
        <v>4927</v>
      </c>
      <c r="AE1669" s="663" t="s">
        <v>4939</v>
      </c>
      <c r="AF1669" s="663" t="s">
        <v>4946</v>
      </c>
    </row>
    <row r="1670" spans="1:32" s="608" customFormat="1" x14ac:dyDescent="0.25">
      <c r="A1670" s="624"/>
      <c r="B1670" s="617">
        <v>39077915600</v>
      </c>
      <c r="C1670" s="617" t="s">
        <v>3338</v>
      </c>
      <c r="D1670" s="617" t="s">
        <v>63</v>
      </c>
      <c r="E1670" s="617" t="s">
        <v>1672</v>
      </c>
      <c r="F1670" s="617" t="s">
        <v>26</v>
      </c>
      <c r="G1670" s="624"/>
      <c r="O1670" s="616"/>
      <c r="P1670" s="616"/>
      <c r="Q1670" s="616"/>
      <c r="AA1670" s="624"/>
      <c r="AB1670" s="663">
        <v>39085204700</v>
      </c>
      <c r="AC1670" s="663" t="s">
        <v>6602</v>
      </c>
      <c r="AD1670" s="663" t="s">
        <v>4950</v>
      </c>
      <c r="AE1670" s="663" t="s">
        <v>4942</v>
      </c>
      <c r="AF1670" s="663" t="s">
        <v>4946</v>
      </c>
    </row>
    <row r="1671" spans="1:32" s="608" customFormat="1" x14ac:dyDescent="0.25">
      <c r="A1671" s="624"/>
      <c r="B1671" s="617">
        <v>39077915700</v>
      </c>
      <c r="C1671" s="617" t="s">
        <v>3339</v>
      </c>
      <c r="D1671" s="617" t="s">
        <v>63</v>
      </c>
      <c r="E1671" s="617" t="s">
        <v>1672</v>
      </c>
      <c r="F1671" s="617" t="s">
        <v>26</v>
      </c>
      <c r="G1671" s="624"/>
      <c r="O1671" s="616"/>
      <c r="P1671" s="616"/>
      <c r="Q1671" s="616"/>
      <c r="AA1671" s="624"/>
      <c r="AB1671" s="663">
        <v>39085204800</v>
      </c>
      <c r="AC1671" s="663" t="s">
        <v>6603</v>
      </c>
      <c r="AD1671" s="663" t="s">
        <v>4950</v>
      </c>
      <c r="AE1671" s="663" t="s">
        <v>4942</v>
      </c>
      <c r="AF1671" s="663" t="s">
        <v>4946</v>
      </c>
    </row>
    <row r="1672" spans="1:32" s="608" customFormat="1" x14ac:dyDescent="0.25">
      <c r="A1672" s="624"/>
      <c r="B1672" s="617">
        <v>39077915800</v>
      </c>
      <c r="C1672" s="617" t="s">
        <v>3340</v>
      </c>
      <c r="D1672" s="617" t="s">
        <v>63</v>
      </c>
      <c r="E1672" s="617" t="s">
        <v>1672</v>
      </c>
      <c r="F1672" s="617" t="s">
        <v>26</v>
      </c>
      <c r="G1672" s="624"/>
      <c r="O1672" s="616"/>
      <c r="P1672" s="616"/>
      <c r="Q1672" s="616"/>
      <c r="AA1672" s="624"/>
      <c r="AB1672" s="663">
        <v>39085204900</v>
      </c>
      <c r="AC1672" s="663" t="s">
        <v>6604</v>
      </c>
      <c r="AD1672" s="663" t="s">
        <v>4950</v>
      </c>
      <c r="AE1672" s="663" t="s">
        <v>4934</v>
      </c>
      <c r="AF1672" s="663" t="s">
        <v>4946</v>
      </c>
    </row>
    <row r="1673" spans="1:32" s="608" customFormat="1" x14ac:dyDescent="0.25">
      <c r="A1673" s="624"/>
      <c r="B1673" s="617">
        <v>39077915900</v>
      </c>
      <c r="C1673" s="617" t="s">
        <v>3341</v>
      </c>
      <c r="D1673" s="617" t="s">
        <v>63</v>
      </c>
      <c r="E1673" s="617" t="s">
        <v>1672</v>
      </c>
      <c r="F1673" s="617" t="s">
        <v>26</v>
      </c>
      <c r="G1673" s="624"/>
      <c r="O1673" s="616"/>
      <c r="P1673" s="616"/>
      <c r="Q1673" s="616"/>
      <c r="AA1673" s="624"/>
      <c r="AB1673" s="663">
        <v>39085205001</v>
      </c>
      <c r="AC1673" s="663" t="s">
        <v>6605</v>
      </c>
      <c r="AD1673" s="663" t="s">
        <v>4938</v>
      </c>
      <c r="AE1673" s="663" t="s">
        <v>4934</v>
      </c>
      <c r="AF1673" s="663" t="s">
        <v>4946</v>
      </c>
    </row>
    <row r="1674" spans="1:32" s="608" customFormat="1" x14ac:dyDescent="0.25">
      <c r="A1674" s="624"/>
      <c r="B1674" s="617">
        <v>39077916000</v>
      </c>
      <c r="C1674" s="617" t="s">
        <v>3342</v>
      </c>
      <c r="D1674" s="617" t="s">
        <v>63</v>
      </c>
      <c r="E1674" s="617" t="s">
        <v>1672</v>
      </c>
      <c r="F1674" s="617" t="s">
        <v>26</v>
      </c>
      <c r="G1674" s="624"/>
      <c r="O1674" s="616"/>
      <c r="P1674" s="616"/>
      <c r="Q1674" s="616"/>
      <c r="AA1674" s="624"/>
      <c r="AB1674" s="663">
        <v>39085205002</v>
      </c>
      <c r="AC1674" s="663" t="s">
        <v>6606</v>
      </c>
      <c r="AD1674" s="663" t="s">
        <v>4941</v>
      </c>
      <c r="AE1674" s="663" t="s">
        <v>4931</v>
      </c>
      <c r="AF1674" s="663" t="s">
        <v>4946</v>
      </c>
    </row>
    <row r="1675" spans="1:32" s="608" customFormat="1" x14ac:dyDescent="0.25">
      <c r="A1675" s="624"/>
      <c r="B1675" s="617">
        <v>39077916100</v>
      </c>
      <c r="C1675" s="617" t="s">
        <v>3343</v>
      </c>
      <c r="D1675" s="617" t="s">
        <v>63</v>
      </c>
      <c r="E1675" s="617" t="s">
        <v>1672</v>
      </c>
      <c r="F1675" s="617" t="s">
        <v>26</v>
      </c>
      <c r="G1675" s="624"/>
      <c r="O1675" s="616"/>
      <c r="P1675" s="616"/>
      <c r="Q1675" s="616"/>
      <c r="AA1675" s="624"/>
      <c r="AB1675" s="663">
        <v>39085205100</v>
      </c>
      <c r="AC1675" s="663" t="s">
        <v>6607</v>
      </c>
      <c r="AD1675" s="663" t="s">
        <v>4938</v>
      </c>
      <c r="AE1675" s="663" t="s">
        <v>4942</v>
      </c>
      <c r="AF1675" s="663" t="s">
        <v>4929</v>
      </c>
    </row>
    <row r="1676" spans="1:32" s="608" customFormat="1" x14ac:dyDescent="0.25">
      <c r="A1676" s="624"/>
      <c r="B1676" s="617">
        <v>39077916200</v>
      </c>
      <c r="C1676" s="617" t="s">
        <v>3344</v>
      </c>
      <c r="D1676" s="617" t="s">
        <v>63</v>
      </c>
      <c r="E1676" s="617" t="s">
        <v>1672</v>
      </c>
      <c r="F1676" s="617" t="s">
        <v>26</v>
      </c>
      <c r="G1676" s="624"/>
      <c r="O1676" s="616"/>
      <c r="P1676" s="616"/>
      <c r="Q1676" s="616"/>
      <c r="AA1676" s="624"/>
      <c r="AB1676" s="663">
        <v>39085205200</v>
      </c>
      <c r="AC1676" s="663" t="s">
        <v>6608</v>
      </c>
      <c r="AD1676" s="663" t="s">
        <v>4948</v>
      </c>
      <c r="AE1676" s="663" t="s">
        <v>4928</v>
      </c>
      <c r="AF1676" s="663" t="s">
        <v>4929</v>
      </c>
    </row>
    <row r="1677" spans="1:32" s="608" customFormat="1" x14ac:dyDescent="0.25">
      <c r="A1677" s="624"/>
      <c r="B1677" s="617">
        <v>39077916300</v>
      </c>
      <c r="C1677" s="617" t="s">
        <v>3345</v>
      </c>
      <c r="D1677" s="617" t="s">
        <v>63</v>
      </c>
      <c r="E1677" s="617" t="s">
        <v>1672</v>
      </c>
      <c r="F1677" s="617" t="s">
        <v>26</v>
      </c>
      <c r="G1677" s="624"/>
      <c r="O1677" s="616"/>
      <c r="P1677" s="616"/>
      <c r="Q1677" s="616"/>
      <c r="AA1677" s="624"/>
      <c r="AB1677" s="663">
        <v>39085205300</v>
      </c>
      <c r="AC1677" s="663" t="s">
        <v>6609</v>
      </c>
      <c r="AD1677" s="663" t="s">
        <v>4938</v>
      </c>
      <c r="AE1677" s="663" t="s">
        <v>4931</v>
      </c>
      <c r="AF1677" s="663" t="s">
        <v>4929</v>
      </c>
    </row>
    <row r="1678" spans="1:32" s="608" customFormat="1" x14ac:dyDescent="0.25">
      <c r="A1678" s="624"/>
      <c r="B1678" s="617">
        <v>39077916400</v>
      </c>
      <c r="C1678" s="617" t="s">
        <v>3346</v>
      </c>
      <c r="D1678" s="617" t="s">
        <v>63</v>
      </c>
      <c r="E1678" s="617" t="s">
        <v>1672</v>
      </c>
      <c r="F1678" s="617" t="s">
        <v>26</v>
      </c>
      <c r="G1678" s="624"/>
      <c r="O1678" s="616"/>
      <c r="P1678" s="616"/>
      <c r="Q1678" s="616"/>
      <c r="AA1678" s="624"/>
      <c r="AB1678" s="663">
        <v>39085205400</v>
      </c>
      <c r="AC1678" s="663" t="s">
        <v>6610</v>
      </c>
      <c r="AD1678" s="663" t="s">
        <v>4948</v>
      </c>
      <c r="AE1678" s="663" t="s">
        <v>4928</v>
      </c>
      <c r="AF1678" s="663" t="s">
        <v>4946</v>
      </c>
    </row>
    <row r="1679" spans="1:32" s="608" customFormat="1" x14ac:dyDescent="0.25">
      <c r="A1679" s="624"/>
      <c r="B1679" s="617">
        <v>39077916500</v>
      </c>
      <c r="C1679" s="617" t="s">
        <v>3347</v>
      </c>
      <c r="D1679" s="617" t="s">
        <v>63</v>
      </c>
      <c r="E1679" s="617" t="s">
        <v>1672</v>
      </c>
      <c r="F1679" s="617" t="s">
        <v>26</v>
      </c>
      <c r="G1679" s="624"/>
      <c r="O1679" s="616"/>
      <c r="P1679" s="616"/>
      <c r="Q1679" s="616"/>
      <c r="AA1679" s="624"/>
      <c r="AB1679" s="663">
        <v>39085205701</v>
      </c>
      <c r="AC1679" s="663" t="s">
        <v>6611</v>
      </c>
      <c r="AD1679" s="663" t="s">
        <v>4950</v>
      </c>
      <c r="AE1679" s="663" t="s">
        <v>4931</v>
      </c>
      <c r="AF1679" s="663" t="s">
        <v>4946</v>
      </c>
    </row>
    <row r="1680" spans="1:32" s="608" customFormat="1" x14ac:dyDescent="0.25">
      <c r="A1680" s="624"/>
      <c r="B1680" s="617">
        <v>39077916600</v>
      </c>
      <c r="C1680" s="617" t="s">
        <v>3348</v>
      </c>
      <c r="D1680" s="617" t="s">
        <v>63</v>
      </c>
      <c r="E1680" s="617" t="s">
        <v>1672</v>
      </c>
      <c r="F1680" s="617" t="s">
        <v>26</v>
      </c>
      <c r="G1680" s="624"/>
      <c r="O1680" s="616"/>
      <c r="P1680" s="616"/>
      <c r="Q1680" s="616"/>
      <c r="AA1680" s="624"/>
      <c r="AB1680" s="663">
        <v>39085205702</v>
      </c>
      <c r="AC1680" s="663" t="s">
        <v>6612</v>
      </c>
      <c r="AD1680" s="663" t="s">
        <v>4950</v>
      </c>
      <c r="AE1680" s="663" t="s">
        <v>4928</v>
      </c>
      <c r="AF1680" s="663" t="s">
        <v>4946</v>
      </c>
    </row>
    <row r="1681" spans="1:32" s="608" customFormat="1" x14ac:dyDescent="0.25">
      <c r="A1681" s="624"/>
      <c r="B1681" s="617">
        <v>39079957200</v>
      </c>
      <c r="C1681" s="617" t="s">
        <v>3349</v>
      </c>
      <c r="D1681" s="617" t="s">
        <v>64</v>
      </c>
      <c r="E1681" s="617" t="s">
        <v>1672</v>
      </c>
      <c r="F1681" s="617" t="s">
        <v>24</v>
      </c>
      <c r="G1681" s="624"/>
      <c r="O1681" s="616"/>
      <c r="P1681" s="616"/>
      <c r="Q1681" s="616"/>
      <c r="AA1681" s="624"/>
      <c r="AB1681" s="663">
        <v>39085205800</v>
      </c>
      <c r="AC1681" s="663" t="s">
        <v>6613</v>
      </c>
      <c r="AD1681" s="663" t="s">
        <v>4941</v>
      </c>
      <c r="AE1681" s="663" t="s">
        <v>4939</v>
      </c>
      <c r="AF1681" s="663" t="s">
        <v>4929</v>
      </c>
    </row>
    <row r="1682" spans="1:32" s="608" customFormat="1" x14ac:dyDescent="0.25">
      <c r="A1682" s="624"/>
      <c r="B1682" s="617">
        <v>39079957300</v>
      </c>
      <c r="C1682" s="617" t="s">
        <v>3350</v>
      </c>
      <c r="D1682" s="617" t="s">
        <v>64</v>
      </c>
      <c r="E1682" s="617" t="s">
        <v>1672</v>
      </c>
      <c r="F1682" s="617" t="s">
        <v>26</v>
      </c>
      <c r="G1682" s="624"/>
      <c r="O1682" s="616"/>
      <c r="P1682" s="616"/>
      <c r="Q1682" s="616"/>
      <c r="AA1682" s="624"/>
      <c r="AB1682" s="663">
        <v>39085205900</v>
      </c>
      <c r="AC1682" s="663" t="s">
        <v>6614</v>
      </c>
      <c r="AD1682" s="663" t="s">
        <v>4938</v>
      </c>
      <c r="AE1682" s="663" t="s">
        <v>4939</v>
      </c>
      <c r="AF1682" s="663" t="s">
        <v>4929</v>
      </c>
    </row>
    <row r="1683" spans="1:32" s="608" customFormat="1" x14ac:dyDescent="0.25">
      <c r="A1683" s="624"/>
      <c r="B1683" s="617">
        <v>39079957400</v>
      </c>
      <c r="C1683" s="617" t="s">
        <v>3351</v>
      </c>
      <c r="D1683" s="617" t="s">
        <v>64</v>
      </c>
      <c r="E1683" s="617" t="s">
        <v>1672</v>
      </c>
      <c r="F1683" s="617" t="s">
        <v>26</v>
      </c>
      <c r="G1683" s="624"/>
      <c r="O1683" s="616"/>
      <c r="P1683" s="616"/>
      <c r="Q1683" s="616"/>
      <c r="AA1683" s="624"/>
      <c r="AB1683" s="663">
        <v>39085206000</v>
      </c>
      <c r="AC1683" s="663" t="s">
        <v>6615</v>
      </c>
      <c r="AD1683" s="663" t="s">
        <v>4948</v>
      </c>
      <c r="AE1683" s="663" t="s">
        <v>4942</v>
      </c>
      <c r="AF1683" s="663" t="s">
        <v>4929</v>
      </c>
    </row>
    <row r="1684" spans="1:32" s="608" customFormat="1" x14ac:dyDescent="0.25">
      <c r="A1684" s="624"/>
      <c r="B1684" s="617">
        <v>39079957500</v>
      </c>
      <c r="C1684" s="617" t="s">
        <v>3352</v>
      </c>
      <c r="D1684" s="617" t="s">
        <v>64</v>
      </c>
      <c r="E1684" s="617" t="s">
        <v>1672</v>
      </c>
      <c r="F1684" s="617" t="s">
        <v>26</v>
      </c>
      <c r="G1684" s="624"/>
      <c r="O1684" s="616"/>
      <c r="P1684" s="616"/>
      <c r="Q1684" s="616"/>
      <c r="AA1684" s="624"/>
      <c r="AB1684" s="663">
        <v>39085206100</v>
      </c>
      <c r="AC1684" s="663" t="s">
        <v>6616</v>
      </c>
      <c r="AD1684" s="663" t="s">
        <v>4950</v>
      </c>
      <c r="AE1684" s="663" t="s">
        <v>4928</v>
      </c>
      <c r="AF1684" s="663" t="s">
        <v>4946</v>
      </c>
    </row>
    <row r="1685" spans="1:32" s="608" customFormat="1" x14ac:dyDescent="0.25">
      <c r="A1685" s="624"/>
      <c r="B1685" s="617">
        <v>39079957600</v>
      </c>
      <c r="C1685" s="617" t="s">
        <v>3353</v>
      </c>
      <c r="D1685" s="617" t="s">
        <v>64</v>
      </c>
      <c r="E1685" s="617" t="s">
        <v>1672</v>
      </c>
      <c r="F1685" s="617" t="s">
        <v>26</v>
      </c>
      <c r="G1685" s="624"/>
      <c r="O1685" s="616"/>
      <c r="P1685" s="616"/>
      <c r="Q1685" s="616"/>
      <c r="AA1685" s="624"/>
      <c r="AB1685" s="663">
        <v>39085206200</v>
      </c>
      <c r="AC1685" s="663" t="s">
        <v>6617</v>
      </c>
      <c r="AD1685" s="663" t="s">
        <v>4948</v>
      </c>
      <c r="AE1685" s="663" t="s">
        <v>4942</v>
      </c>
      <c r="AF1685" s="663" t="s">
        <v>4946</v>
      </c>
    </row>
    <row r="1686" spans="1:32" s="608" customFormat="1" x14ac:dyDescent="0.25">
      <c r="A1686" s="624"/>
      <c r="B1686" s="617">
        <v>39079957700</v>
      </c>
      <c r="C1686" s="617" t="s">
        <v>3354</v>
      </c>
      <c r="D1686" s="617" t="s">
        <v>64</v>
      </c>
      <c r="E1686" s="617" t="s">
        <v>1672</v>
      </c>
      <c r="F1686" s="617" t="s">
        <v>26</v>
      </c>
      <c r="G1686" s="624"/>
      <c r="O1686" s="616"/>
      <c r="P1686" s="616"/>
      <c r="Q1686" s="616"/>
      <c r="AA1686" s="624"/>
      <c r="AB1686" s="663">
        <v>39085206300</v>
      </c>
      <c r="AC1686" s="663" t="s">
        <v>6618</v>
      </c>
      <c r="AD1686" s="663" t="s">
        <v>4948</v>
      </c>
      <c r="AE1686" s="663" t="s">
        <v>4942</v>
      </c>
      <c r="AF1686" s="663" t="s">
        <v>4946</v>
      </c>
    </row>
    <row r="1687" spans="1:32" s="608" customFormat="1" x14ac:dyDescent="0.25">
      <c r="A1687" s="624"/>
      <c r="B1687" s="617">
        <v>39079957800</v>
      </c>
      <c r="C1687" s="617" t="s">
        <v>3355</v>
      </c>
      <c r="D1687" s="617" t="s">
        <v>64</v>
      </c>
      <c r="E1687" s="617" t="s">
        <v>1672</v>
      </c>
      <c r="F1687" s="617" t="s">
        <v>26</v>
      </c>
      <c r="G1687" s="624"/>
      <c r="O1687" s="616"/>
      <c r="P1687" s="616"/>
      <c r="Q1687" s="616"/>
      <c r="AA1687" s="624"/>
      <c r="AB1687" s="663">
        <v>39085206400</v>
      </c>
      <c r="AC1687" s="663" t="s">
        <v>6619</v>
      </c>
      <c r="AD1687" s="663" t="s">
        <v>4941</v>
      </c>
      <c r="AE1687" s="663" t="s">
        <v>4928</v>
      </c>
      <c r="AF1687" s="663" t="s">
        <v>4946</v>
      </c>
    </row>
    <row r="1688" spans="1:32" s="608" customFormat="1" x14ac:dyDescent="0.25">
      <c r="A1688" s="624"/>
      <c r="B1688" s="617">
        <v>39081000200</v>
      </c>
      <c r="C1688" s="617" t="s">
        <v>3356</v>
      </c>
      <c r="D1688" s="617" t="s">
        <v>65</v>
      </c>
      <c r="E1688" s="617" t="s">
        <v>4857</v>
      </c>
      <c r="F1688" s="617" t="s">
        <v>24</v>
      </c>
      <c r="G1688" s="624"/>
      <c r="O1688" s="616"/>
      <c r="P1688" s="616"/>
      <c r="Q1688" s="616"/>
      <c r="AA1688" s="624"/>
      <c r="AB1688" s="663">
        <v>39085206500</v>
      </c>
      <c r="AC1688" s="663" t="s">
        <v>6620</v>
      </c>
      <c r="AD1688" s="663" t="s">
        <v>4938</v>
      </c>
      <c r="AE1688" s="663" t="s">
        <v>4942</v>
      </c>
      <c r="AF1688" s="663" t="s">
        <v>4946</v>
      </c>
    </row>
    <row r="1689" spans="1:32" s="608" customFormat="1" x14ac:dyDescent="0.25">
      <c r="A1689" s="624"/>
      <c r="B1689" s="617">
        <v>39081000400</v>
      </c>
      <c r="C1689" s="617" t="s">
        <v>3357</v>
      </c>
      <c r="D1689" s="617" t="s">
        <v>65</v>
      </c>
      <c r="E1689" s="617" t="s">
        <v>4857</v>
      </c>
      <c r="F1689" s="617" t="s">
        <v>24</v>
      </c>
      <c r="G1689" s="624"/>
      <c r="O1689" s="616"/>
      <c r="P1689" s="616"/>
      <c r="Q1689" s="616"/>
      <c r="AA1689" s="624"/>
      <c r="AB1689" s="663">
        <v>39085206600</v>
      </c>
      <c r="AC1689" s="663" t="s">
        <v>6621</v>
      </c>
      <c r="AD1689" s="663" t="s">
        <v>4950</v>
      </c>
      <c r="AE1689" s="663" t="s">
        <v>4942</v>
      </c>
      <c r="AF1689" s="663" t="s">
        <v>4946</v>
      </c>
    </row>
    <row r="1690" spans="1:32" s="608" customFormat="1" x14ac:dyDescent="0.25">
      <c r="A1690" s="624"/>
      <c r="B1690" s="617">
        <v>39081000600</v>
      </c>
      <c r="C1690" s="617" t="s">
        <v>3358</v>
      </c>
      <c r="D1690" s="617" t="s">
        <v>65</v>
      </c>
      <c r="E1690" s="617" t="s">
        <v>4857</v>
      </c>
      <c r="F1690" s="617" t="s">
        <v>26</v>
      </c>
      <c r="G1690" s="624"/>
      <c r="O1690" s="616"/>
      <c r="P1690" s="616"/>
      <c r="Q1690" s="616"/>
      <c r="AA1690" s="624"/>
      <c r="AB1690" s="663">
        <v>39087050100</v>
      </c>
      <c r="AC1690" s="663" t="s">
        <v>6622</v>
      </c>
      <c r="AD1690" s="663" t="s">
        <v>4950</v>
      </c>
      <c r="AE1690" s="663" t="s">
        <v>4942</v>
      </c>
      <c r="AF1690" s="663" t="s">
        <v>4946</v>
      </c>
    </row>
    <row r="1691" spans="1:32" s="608" customFormat="1" x14ac:dyDescent="0.25">
      <c r="A1691" s="624"/>
      <c r="B1691" s="617">
        <v>39081001000</v>
      </c>
      <c r="C1691" s="617" t="s">
        <v>3359</v>
      </c>
      <c r="D1691" s="617" t="s">
        <v>65</v>
      </c>
      <c r="E1691" s="617" t="s">
        <v>4857</v>
      </c>
      <c r="F1691" s="617" t="s">
        <v>26</v>
      </c>
      <c r="G1691" s="624"/>
      <c r="O1691" s="616"/>
      <c r="P1691" s="616"/>
      <c r="Q1691" s="616"/>
      <c r="AA1691" s="624"/>
      <c r="AB1691" s="663">
        <v>39087050200</v>
      </c>
      <c r="AC1691" s="663" t="s">
        <v>6623</v>
      </c>
      <c r="AD1691" s="663" t="s">
        <v>4950</v>
      </c>
      <c r="AE1691" s="663" t="s">
        <v>4928</v>
      </c>
      <c r="AF1691" s="663" t="s">
        <v>4946</v>
      </c>
    </row>
    <row r="1692" spans="1:32" s="608" customFormat="1" x14ac:dyDescent="0.25">
      <c r="A1692" s="624"/>
      <c r="B1692" s="617">
        <v>39081001200</v>
      </c>
      <c r="C1692" s="617" t="s">
        <v>3360</v>
      </c>
      <c r="D1692" s="617" t="s">
        <v>65</v>
      </c>
      <c r="E1692" s="617" t="s">
        <v>4857</v>
      </c>
      <c r="F1692" s="617" t="s">
        <v>26</v>
      </c>
      <c r="G1692" s="624"/>
      <c r="O1692" s="616"/>
      <c r="P1692" s="616"/>
      <c r="Q1692" s="616"/>
      <c r="AA1692" s="624"/>
      <c r="AB1692" s="663">
        <v>39087050300</v>
      </c>
      <c r="AC1692" s="663" t="s">
        <v>6624</v>
      </c>
      <c r="AD1692" s="663" t="s">
        <v>4927</v>
      </c>
      <c r="AE1692" s="663" t="s">
        <v>4928</v>
      </c>
      <c r="AF1692" s="663" t="s">
        <v>4946</v>
      </c>
    </row>
    <row r="1693" spans="1:32" s="608" customFormat="1" x14ac:dyDescent="0.25">
      <c r="A1693" s="624"/>
      <c r="B1693" s="617">
        <v>39081001300</v>
      </c>
      <c r="C1693" s="617" t="s">
        <v>3361</v>
      </c>
      <c r="D1693" s="617" t="s">
        <v>65</v>
      </c>
      <c r="E1693" s="617" t="s">
        <v>4857</v>
      </c>
      <c r="F1693" s="617" t="s">
        <v>24</v>
      </c>
      <c r="G1693" s="624"/>
      <c r="O1693" s="616"/>
      <c r="P1693" s="616"/>
      <c r="Q1693" s="616"/>
      <c r="AA1693" s="624"/>
      <c r="AB1693" s="663">
        <v>39087050400</v>
      </c>
      <c r="AC1693" s="663" t="s">
        <v>6625</v>
      </c>
      <c r="AD1693" s="663" t="s">
        <v>4950</v>
      </c>
      <c r="AE1693" s="663" t="s">
        <v>4934</v>
      </c>
      <c r="AF1693" s="663" t="s">
        <v>4946</v>
      </c>
    </row>
    <row r="1694" spans="1:32" s="608" customFormat="1" x14ac:dyDescent="0.25">
      <c r="A1694" s="624"/>
      <c r="B1694" s="617">
        <v>39081001400</v>
      </c>
      <c r="C1694" s="617" t="s">
        <v>3362</v>
      </c>
      <c r="D1694" s="617" t="s">
        <v>65</v>
      </c>
      <c r="E1694" s="617" t="s">
        <v>4857</v>
      </c>
      <c r="F1694" s="617" t="s">
        <v>26</v>
      </c>
      <c r="G1694" s="624"/>
      <c r="O1694" s="616"/>
      <c r="P1694" s="616"/>
      <c r="Q1694" s="616"/>
      <c r="AA1694" s="624"/>
      <c r="AB1694" s="663">
        <v>39087050500</v>
      </c>
      <c r="AC1694" s="663" t="s">
        <v>6626</v>
      </c>
      <c r="AD1694" s="663" t="s">
        <v>4927</v>
      </c>
      <c r="AE1694" s="663" t="s">
        <v>4928</v>
      </c>
      <c r="AF1694" s="663" t="s">
        <v>4929</v>
      </c>
    </row>
    <row r="1695" spans="1:32" s="608" customFormat="1" x14ac:dyDescent="0.25">
      <c r="A1695" s="624"/>
      <c r="B1695" s="617">
        <v>39081011000</v>
      </c>
      <c r="C1695" s="617" t="s">
        <v>3363</v>
      </c>
      <c r="D1695" s="617" t="s">
        <v>65</v>
      </c>
      <c r="E1695" s="617" t="s">
        <v>4857</v>
      </c>
      <c r="F1695" s="617" t="s">
        <v>26</v>
      </c>
      <c r="G1695" s="624"/>
      <c r="O1695" s="616"/>
      <c r="P1695" s="616"/>
      <c r="Q1695" s="616"/>
      <c r="AA1695" s="624"/>
      <c r="AB1695" s="663">
        <v>39087050600</v>
      </c>
      <c r="AC1695" s="663" t="s">
        <v>6627</v>
      </c>
      <c r="AD1695" s="663" t="s">
        <v>4927</v>
      </c>
      <c r="AE1695" s="663" t="s">
        <v>4928</v>
      </c>
      <c r="AF1695" s="663" t="s">
        <v>4929</v>
      </c>
    </row>
    <row r="1696" spans="1:32" s="608" customFormat="1" x14ac:dyDescent="0.25">
      <c r="A1696" s="624"/>
      <c r="B1696" s="617">
        <v>39081011100</v>
      </c>
      <c r="C1696" s="617" t="s">
        <v>3364</v>
      </c>
      <c r="D1696" s="617" t="s">
        <v>65</v>
      </c>
      <c r="E1696" s="617" t="s">
        <v>4857</v>
      </c>
      <c r="F1696" s="617" t="s">
        <v>26</v>
      </c>
      <c r="G1696" s="624"/>
      <c r="O1696" s="616"/>
      <c r="P1696" s="616"/>
      <c r="Q1696" s="616"/>
      <c r="AA1696" s="624"/>
      <c r="AB1696" s="663">
        <v>39087050700</v>
      </c>
      <c r="AC1696" s="663" t="s">
        <v>6628</v>
      </c>
      <c r="AD1696" s="663" t="s">
        <v>4927</v>
      </c>
      <c r="AE1696" s="663" t="s">
        <v>4928</v>
      </c>
      <c r="AF1696" s="663" t="s">
        <v>4929</v>
      </c>
    </row>
    <row r="1697" spans="1:32" s="608" customFormat="1" x14ac:dyDescent="0.25">
      <c r="A1697" s="624"/>
      <c r="B1697" s="617">
        <v>39081011200</v>
      </c>
      <c r="C1697" s="617" t="s">
        <v>3365</v>
      </c>
      <c r="D1697" s="617" t="s">
        <v>65</v>
      </c>
      <c r="E1697" s="617" t="s">
        <v>4857</v>
      </c>
      <c r="F1697" s="617" t="s">
        <v>26</v>
      </c>
      <c r="G1697" s="624"/>
      <c r="O1697" s="616"/>
      <c r="P1697" s="616"/>
      <c r="Q1697" s="616"/>
      <c r="AA1697" s="624"/>
      <c r="AB1697" s="663">
        <v>39087050800</v>
      </c>
      <c r="AC1697" s="663" t="s">
        <v>6629</v>
      </c>
      <c r="AD1697" s="663" t="s">
        <v>4927</v>
      </c>
      <c r="AE1697" s="663" t="s">
        <v>4931</v>
      </c>
      <c r="AF1697" s="663" t="s">
        <v>4929</v>
      </c>
    </row>
    <row r="1698" spans="1:32" s="608" customFormat="1" x14ac:dyDescent="0.25">
      <c r="A1698" s="624"/>
      <c r="B1698" s="617">
        <v>39081011300</v>
      </c>
      <c r="C1698" s="617" t="s">
        <v>3366</v>
      </c>
      <c r="D1698" s="617" t="s">
        <v>65</v>
      </c>
      <c r="E1698" s="617" t="s">
        <v>4857</v>
      </c>
      <c r="F1698" s="617" t="s">
        <v>26</v>
      </c>
      <c r="G1698" s="624"/>
      <c r="O1698" s="616"/>
      <c r="P1698" s="616"/>
      <c r="Q1698" s="616"/>
      <c r="AA1698" s="624"/>
      <c r="AB1698" s="663">
        <v>39087050900</v>
      </c>
      <c r="AC1698" s="663" t="s">
        <v>6630</v>
      </c>
      <c r="AD1698" s="663" t="s">
        <v>4950</v>
      </c>
      <c r="AE1698" s="663" t="s">
        <v>4939</v>
      </c>
      <c r="AF1698" s="663" t="s">
        <v>4946</v>
      </c>
    </row>
    <row r="1699" spans="1:32" s="608" customFormat="1" x14ac:dyDescent="0.25">
      <c r="A1699" s="624"/>
      <c r="B1699" s="617">
        <v>39081011401</v>
      </c>
      <c r="C1699" s="617" t="s">
        <v>3367</v>
      </c>
      <c r="D1699" s="617" t="s">
        <v>65</v>
      </c>
      <c r="E1699" s="617" t="s">
        <v>4857</v>
      </c>
      <c r="F1699" s="617" t="s">
        <v>26</v>
      </c>
      <c r="G1699" s="624"/>
      <c r="O1699" s="616"/>
      <c r="P1699" s="616"/>
      <c r="Q1699" s="616"/>
      <c r="AA1699" s="624"/>
      <c r="AB1699" s="663">
        <v>39087051001</v>
      </c>
      <c r="AC1699" s="663" t="s">
        <v>6631</v>
      </c>
      <c r="AD1699" s="663" t="s">
        <v>4950</v>
      </c>
      <c r="AE1699" s="663" t="s">
        <v>4934</v>
      </c>
      <c r="AF1699" s="663" t="s">
        <v>4946</v>
      </c>
    </row>
    <row r="1700" spans="1:32" s="608" customFormat="1" x14ac:dyDescent="0.25">
      <c r="A1700" s="624"/>
      <c r="B1700" s="617">
        <v>39081011402</v>
      </c>
      <c r="C1700" s="617" t="s">
        <v>3368</v>
      </c>
      <c r="D1700" s="617" t="s">
        <v>65</v>
      </c>
      <c r="E1700" s="617" t="s">
        <v>4857</v>
      </c>
      <c r="F1700" s="617" t="s">
        <v>26</v>
      </c>
      <c r="G1700" s="624"/>
      <c r="O1700" s="616"/>
      <c r="P1700" s="616"/>
      <c r="Q1700" s="616"/>
      <c r="AA1700" s="624"/>
      <c r="AB1700" s="663">
        <v>39087051002</v>
      </c>
      <c r="AC1700" s="663" t="s">
        <v>6632</v>
      </c>
      <c r="AD1700" s="663" t="s">
        <v>4927</v>
      </c>
      <c r="AE1700" s="663" t="s">
        <v>4928</v>
      </c>
      <c r="AF1700" s="663" t="s">
        <v>4929</v>
      </c>
    </row>
    <row r="1701" spans="1:32" s="608" customFormat="1" x14ac:dyDescent="0.25">
      <c r="A1701" s="624"/>
      <c r="B1701" s="617">
        <v>39081011500</v>
      </c>
      <c r="C1701" s="617" t="s">
        <v>3369</v>
      </c>
      <c r="D1701" s="617" t="s">
        <v>65</v>
      </c>
      <c r="E1701" s="617" t="s">
        <v>4857</v>
      </c>
      <c r="F1701" s="617" t="s">
        <v>26</v>
      </c>
      <c r="G1701" s="624"/>
      <c r="O1701" s="616"/>
      <c r="P1701" s="616"/>
      <c r="Q1701" s="616"/>
      <c r="AA1701" s="624"/>
      <c r="AB1701" s="663">
        <v>39087051100</v>
      </c>
      <c r="AC1701" s="663" t="s">
        <v>6633</v>
      </c>
      <c r="AD1701" s="663" t="s">
        <v>4950</v>
      </c>
      <c r="AE1701" s="663" t="s">
        <v>4939</v>
      </c>
      <c r="AF1701" s="663" t="s">
        <v>4929</v>
      </c>
    </row>
    <row r="1702" spans="1:32" s="608" customFormat="1" x14ac:dyDescent="0.25">
      <c r="A1702" s="624"/>
      <c r="B1702" s="617">
        <v>39081011700</v>
      </c>
      <c r="C1702" s="617" t="s">
        <v>3370</v>
      </c>
      <c r="D1702" s="617" t="s">
        <v>65</v>
      </c>
      <c r="E1702" s="617" t="s">
        <v>4857</v>
      </c>
      <c r="F1702" s="617" t="s">
        <v>26</v>
      </c>
      <c r="G1702" s="624"/>
      <c r="O1702" s="616"/>
      <c r="P1702" s="616"/>
      <c r="Q1702" s="616"/>
      <c r="AA1702" s="624"/>
      <c r="AB1702" s="663">
        <v>39087051200</v>
      </c>
      <c r="AC1702" s="663" t="s">
        <v>6634</v>
      </c>
      <c r="AD1702" s="663" t="s">
        <v>4948</v>
      </c>
      <c r="AE1702" s="663" t="s">
        <v>4931</v>
      </c>
      <c r="AF1702" s="663" t="s">
        <v>4929</v>
      </c>
    </row>
    <row r="1703" spans="1:32" s="608" customFormat="1" x14ac:dyDescent="0.25">
      <c r="A1703" s="624"/>
      <c r="B1703" s="617">
        <v>39081011800</v>
      </c>
      <c r="C1703" s="617" t="s">
        <v>3371</v>
      </c>
      <c r="D1703" s="617" t="s">
        <v>65</v>
      </c>
      <c r="E1703" s="617" t="s">
        <v>4857</v>
      </c>
      <c r="F1703" s="617" t="s">
        <v>26</v>
      </c>
      <c r="G1703" s="624"/>
      <c r="O1703" s="616"/>
      <c r="P1703" s="616"/>
      <c r="Q1703" s="616"/>
      <c r="AA1703" s="624"/>
      <c r="AB1703" s="663">
        <v>39087051300</v>
      </c>
      <c r="AC1703" s="663" t="s">
        <v>6635</v>
      </c>
      <c r="AD1703" s="663" t="s">
        <v>4950</v>
      </c>
      <c r="AE1703" s="663" t="s">
        <v>4934</v>
      </c>
      <c r="AF1703" s="663" t="s">
        <v>4929</v>
      </c>
    </row>
    <row r="1704" spans="1:32" s="608" customFormat="1" x14ac:dyDescent="0.25">
      <c r="A1704" s="624"/>
      <c r="B1704" s="617">
        <v>39081011900</v>
      </c>
      <c r="C1704" s="617" t="s">
        <v>3372</v>
      </c>
      <c r="D1704" s="617" t="s">
        <v>65</v>
      </c>
      <c r="E1704" s="617" t="s">
        <v>4857</v>
      </c>
      <c r="F1704" s="617" t="s">
        <v>26</v>
      </c>
      <c r="G1704" s="624"/>
      <c r="O1704" s="616"/>
      <c r="P1704" s="616"/>
      <c r="Q1704" s="616"/>
      <c r="AA1704" s="624"/>
      <c r="AB1704" s="663">
        <v>39087051401</v>
      </c>
      <c r="AC1704" s="663" t="s">
        <v>6636</v>
      </c>
      <c r="AD1704" s="663" t="s">
        <v>4950</v>
      </c>
      <c r="AE1704" s="663" t="s">
        <v>4928</v>
      </c>
      <c r="AF1704" s="663" t="s">
        <v>4946</v>
      </c>
    </row>
    <row r="1705" spans="1:32" s="608" customFormat="1" x14ac:dyDescent="0.25">
      <c r="A1705" s="624"/>
      <c r="B1705" s="617">
        <v>39081012000</v>
      </c>
      <c r="C1705" s="617" t="s">
        <v>3373</v>
      </c>
      <c r="D1705" s="617" t="s">
        <v>65</v>
      </c>
      <c r="E1705" s="617" t="s">
        <v>4857</v>
      </c>
      <c r="F1705" s="617" t="s">
        <v>26</v>
      </c>
      <c r="G1705" s="624"/>
      <c r="O1705" s="616"/>
      <c r="P1705" s="616"/>
      <c r="Q1705" s="616"/>
      <c r="AA1705" s="624"/>
      <c r="AB1705" s="663">
        <v>39087051402</v>
      </c>
      <c r="AC1705" s="663" t="s">
        <v>6637</v>
      </c>
      <c r="AD1705" s="663" t="s">
        <v>4950</v>
      </c>
      <c r="AE1705" s="663" t="s">
        <v>4931</v>
      </c>
      <c r="AF1705" s="663" t="s">
        <v>4929</v>
      </c>
    </row>
    <row r="1706" spans="1:32" s="608" customFormat="1" x14ac:dyDescent="0.25">
      <c r="A1706" s="624"/>
      <c r="B1706" s="617">
        <v>39081012100</v>
      </c>
      <c r="C1706" s="617" t="s">
        <v>3374</v>
      </c>
      <c r="D1706" s="617" t="s">
        <v>65</v>
      </c>
      <c r="E1706" s="617" t="s">
        <v>4857</v>
      </c>
      <c r="F1706" s="617" t="s">
        <v>26</v>
      </c>
      <c r="G1706" s="624"/>
      <c r="O1706" s="616"/>
      <c r="P1706" s="616"/>
      <c r="Q1706" s="616"/>
      <c r="AA1706" s="624"/>
      <c r="AB1706" s="663">
        <v>39089750700</v>
      </c>
      <c r="AC1706" s="663" t="s">
        <v>6638</v>
      </c>
      <c r="AD1706" s="663" t="s">
        <v>4948</v>
      </c>
      <c r="AE1706" s="663" t="s">
        <v>4928</v>
      </c>
      <c r="AF1706" s="663" t="s">
        <v>4962</v>
      </c>
    </row>
    <row r="1707" spans="1:32" s="608" customFormat="1" x14ac:dyDescent="0.25">
      <c r="A1707" s="624"/>
      <c r="B1707" s="617">
        <v>39081012200</v>
      </c>
      <c r="C1707" s="617" t="s">
        <v>3375</v>
      </c>
      <c r="D1707" s="617" t="s">
        <v>65</v>
      </c>
      <c r="E1707" s="617" t="s">
        <v>4857</v>
      </c>
      <c r="F1707" s="617" t="s">
        <v>26</v>
      </c>
      <c r="G1707" s="624"/>
      <c r="O1707" s="616"/>
      <c r="P1707" s="616"/>
      <c r="Q1707" s="616"/>
      <c r="AA1707" s="624"/>
      <c r="AB1707" s="663">
        <v>39089751000</v>
      </c>
      <c r="AC1707" s="663" t="s">
        <v>6639</v>
      </c>
      <c r="AD1707" s="663" t="s">
        <v>4941</v>
      </c>
      <c r="AE1707" s="663" t="s">
        <v>4931</v>
      </c>
      <c r="AF1707" s="663" t="s">
        <v>4962</v>
      </c>
    </row>
    <row r="1708" spans="1:32" s="608" customFormat="1" x14ac:dyDescent="0.25">
      <c r="A1708" s="624"/>
      <c r="B1708" s="617">
        <v>39081012300</v>
      </c>
      <c r="C1708" s="617" t="s">
        <v>3376</v>
      </c>
      <c r="D1708" s="617" t="s">
        <v>65</v>
      </c>
      <c r="E1708" s="617" t="s">
        <v>4857</v>
      </c>
      <c r="F1708" s="617" t="s">
        <v>26</v>
      </c>
      <c r="G1708" s="624"/>
      <c r="O1708" s="616"/>
      <c r="P1708" s="616"/>
      <c r="Q1708" s="616"/>
      <c r="AA1708" s="624"/>
      <c r="AB1708" s="663">
        <v>39089751300</v>
      </c>
      <c r="AC1708" s="663" t="s">
        <v>6640</v>
      </c>
      <c r="AD1708" s="663" t="s">
        <v>4938</v>
      </c>
      <c r="AE1708" s="663" t="s">
        <v>4931</v>
      </c>
      <c r="AF1708" s="663" t="s">
        <v>4962</v>
      </c>
    </row>
    <row r="1709" spans="1:32" s="608" customFormat="1" x14ac:dyDescent="0.25">
      <c r="A1709" s="624"/>
      <c r="B1709" s="617">
        <v>39081012400</v>
      </c>
      <c r="C1709" s="617" t="s">
        <v>3377</v>
      </c>
      <c r="D1709" s="617" t="s">
        <v>65</v>
      </c>
      <c r="E1709" s="617" t="s">
        <v>4857</v>
      </c>
      <c r="F1709" s="617" t="s">
        <v>24</v>
      </c>
      <c r="G1709" s="624"/>
      <c r="O1709" s="616"/>
      <c r="P1709" s="616"/>
      <c r="Q1709" s="616"/>
      <c r="AA1709" s="624"/>
      <c r="AB1709" s="663">
        <v>39089751600</v>
      </c>
      <c r="AC1709" s="663" t="s">
        <v>6641</v>
      </c>
      <c r="AD1709" s="663" t="s">
        <v>4938</v>
      </c>
      <c r="AE1709" s="663" t="s">
        <v>4928</v>
      </c>
      <c r="AF1709" s="663" t="s">
        <v>4962</v>
      </c>
    </row>
    <row r="1710" spans="1:32" s="608" customFormat="1" x14ac:dyDescent="0.25">
      <c r="A1710" s="624"/>
      <c r="B1710" s="617">
        <v>39083006700</v>
      </c>
      <c r="C1710" s="617" t="s">
        <v>3378</v>
      </c>
      <c r="D1710" s="617" t="s">
        <v>222</v>
      </c>
      <c r="E1710" s="617" t="s">
        <v>1672</v>
      </c>
      <c r="F1710" s="617" t="s">
        <v>26</v>
      </c>
      <c r="G1710" s="624"/>
      <c r="O1710" s="616"/>
      <c r="P1710" s="616"/>
      <c r="Q1710" s="616"/>
      <c r="AA1710" s="624"/>
      <c r="AB1710" s="663">
        <v>39089751900</v>
      </c>
      <c r="AC1710" s="663" t="s">
        <v>6642</v>
      </c>
      <c r="AD1710" s="663" t="s">
        <v>4927</v>
      </c>
      <c r="AE1710" s="663" t="s">
        <v>4928</v>
      </c>
      <c r="AF1710" s="663" t="s">
        <v>4946</v>
      </c>
    </row>
    <row r="1711" spans="1:32" s="608" customFormat="1" x14ac:dyDescent="0.25">
      <c r="A1711" s="624"/>
      <c r="B1711" s="617">
        <v>39083006801</v>
      </c>
      <c r="C1711" s="617" t="s">
        <v>3379</v>
      </c>
      <c r="D1711" s="617" t="s">
        <v>222</v>
      </c>
      <c r="E1711" s="617" t="s">
        <v>1672</v>
      </c>
      <c r="F1711" s="617" t="s">
        <v>26</v>
      </c>
      <c r="G1711" s="624"/>
      <c r="O1711" s="616"/>
      <c r="P1711" s="616"/>
      <c r="Q1711" s="616"/>
      <c r="AA1711" s="624"/>
      <c r="AB1711" s="663">
        <v>39089752200</v>
      </c>
      <c r="AC1711" s="663" t="s">
        <v>6643</v>
      </c>
      <c r="AD1711" s="663" t="s">
        <v>4927</v>
      </c>
      <c r="AE1711" s="663" t="s">
        <v>4931</v>
      </c>
      <c r="AF1711" s="663" t="s">
        <v>4946</v>
      </c>
    </row>
    <row r="1712" spans="1:32" s="608" customFormat="1" x14ac:dyDescent="0.25">
      <c r="A1712" s="624"/>
      <c r="B1712" s="617">
        <v>39083006802</v>
      </c>
      <c r="C1712" s="617" t="s">
        <v>3380</v>
      </c>
      <c r="D1712" s="617" t="s">
        <v>222</v>
      </c>
      <c r="E1712" s="617" t="s">
        <v>1672</v>
      </c>
      <c r="F1712" s="617" t="s">
        <v>26</v>
      </c>
      <c r="G1712" s="624"/>
      <c r="O1712" s="616"/>
      <c r="P1712" s="616"/>
      <c r="Q1712" s="616"/>
      <c r="AA1712" s="624"/>
      <c r="AB1712" s="663">
        <v>39089752500</v>
      </c>
      <c r="AC1712" s="663" t="s">
        <v>6644</v>
      </c>
      <c r="AD1712" s="663" t="s">
        <v>4927</v>
      </c>
      <c r="AE1712" s="663" t="s">
        <v>4934</v>
      </c>
      <c r="AF1712" s="663" t="s">
        <v>4946</v>
      </c>
    </row>
    <row r="1713" spans="1:32" s="608" customFormat="1" x14ac:dyDescent="0.25">
      <c r="A1713" s="624"/>
      <c r="B1713" s="617">
        <v>39083006900</v>
      </c>
      <c r="C1713" s="617" t="s">
        <v>3381</v>
      </c>
      <c r="D1713" s="617" t="s">
        <v>222</v>
      </c>
      <c r="E1713" s="617" t="s">
        <v>1672</v>
      </c>
      <c r="F1713" s="617" t="s">
        <v>26</v>
      </c>
      <c r="G1713" s="624"/>
      <c r="O1713" s="616"/>
      <c r="P1713" s="616"/>
      <c r="Q1713" s="616"/>
      <c r="AA1713" s="624"/>
      <c r="AB1713" s="663">
        <v>39089752800</v>
      </c>
      <c r="AC1713" s="663" t="s">
        <v>6645</v>
      </c>
      <c r="AD1713" s="663" t="s">
        <v>4948</v>
      </c>
      <c r="AE1713" s="663" t="s">
        <v>4939</v>
      </c>
      <c r="AF1713" s="663" t="s">
        <v>4946</v>
      </c>
    </row>
    <row r="1714" spans="1:32" s="608" customFormat="1" x14ac:dyDescent="0.25">
      <c r="A1714" s="624"/>
      <c r="B1714" s="617">
        <v>39083007000</v>
      </c>
      <c r="C1714" s="617" t="s">
        <v>3382</v>
      </c>
      <c r="D1714" s="617" t="s">
        <v>222</v>
      </c>
      <c r="E1714" s="617" t="s">
        <v>1672</v>
      </c>
      <c r="F1714" s="617" t="s">
        <v>26</v>
      </c>
      <c r="G1714" s="624"/>
      <c r="O1714" s="616"/>
      <c r="P1714" s="616"/>
      <c r="Q1714" s="616"/>
      <c r="AA1714" s="624"/>
      <c r="AB1714" s="663">
        <v>39089753100</v>
      </c>
      <c r="AC1714" s="663" t="s">
        <v>6646</v>
      </c>
      <c r="AD1714" s="663" t="s">
        <v>4950</v>
      </c>
      <c r="AE1714" s="663" t="s">
        <v>4928</v>
      </c>
      <c r="AF1714" s="663" t="s">
        <v>4946</v>
      </c>
    </row>
    <row r="1715" spans="1:32" s="608" customFormat="1" x14ac:dyDescent="0.25">
      <c r="A1715" s="624"/>
      <c r="B1715" s="617">
        <v>39083007100</v>
      </c>
      <c r="C1715" s="617" t="s">
        <v>3383</v>
      </c>
      <c r="D1715" s="617" t="s">
        <v>222</v>
      </c>
      <c r="E1715" s="617" t="s">
        <v>1672</v>
      </c>
      <c r="F1715" s="617" t="s">
        <v>24</v>
      </c>
      <c r="G1715" s="624"/>
      <c r="O1715" s="616"/>
      <c r="P1715" s="616"/>
      <c r="Q1715" s="616"/>
      <c r="AA1715" s="624"/>
      <c r="AB1715" s="663">
        <v>39089753300</v>
      </c>
      <c r="AC1715" s="663" t="s">
        <v>6647</v>
      </c>
      <c r="AD1715" s="663" t="s">
        <v>4948</v>
      </c>
      <c r="AE1715" s="663" t="s">
        <v>4939</v>
      </c>
      <c r="AF1715" s="663" t="s">
        <v>4946</v>
      </c>
    </row>
    <row r="1716" spans="1:32" s="608" customFormat="1" x14ac:dyDescent="0.25">
      <c r="A1716" s="624"/>
      <c r="B1716" s="617">
        <v>39083007200</v>
      </c>
      <c r="C1716" s="617" t="s">
        <v>3384</v>
      </c>
      <c r="D1716" s="617" t="s">
        <v>222</v>
      </c>
      <c r="E1716" s="617" t="s">
        <v>1672</v>
      </c>
      <c r="F1716" s="617" t="s">
        <v>26</v>
      </c>
      <c r="G1716" s="624"/>
      <c r="O1716" s="616"/>
      <c r="P1716" s="616"/>
      <c r="Q1716" s="616"/>
      <c r="AA1716" s="624"/>
      <c r="AB1716" s="663">
        <v>39089753600</v>
      </c>
      <c r="AC1716" s="663" t="s">
        <v>6648</v>
      </c>
      <c r="AD1716" s="663" t="s">
        <v>4938</v>
      </c>
      <c r="AE1716" s="663" t="s">
        <v>4939</v>
      </c>
      <c r="AF1716" s="663" t="s">
        <v>4962</v>
      </c>
    </row>
    <row r="1717" spans="1:32" s="608" customFormat="1" x14ac:dyDescent="0.25">
      <c r="A1717" s="624"/>
      <c r="B1717" s="617">
        <v>39083007301</v>
      </c>
      <c r="C1717" s="617" t="s">
        <v>3385</v>
      </c>
      <c r="D1717" s="617" t="s">
        <v>222</v>
      </c>
      <c r="E1717" s="617" t="s">
        <v>1672</v>
      </c>
      <c r="F1717" s="617" t="s">
        <v>26</v>
      </c>
      <c r="G1717" s="624"/>
      <c r="O1717" s="616"/>
      <c r="P1717" s="616"/>
      <c r="Q1717" s="616"/>
      <c r="AA1717" s="624"/>
      <c r="AB1717" s="663">
        <v>39089753900</v>
      </c>
      <c r="AC1717" s="663" t="s">
        <v>6649</v>
      </c>
      <c r="AD1717" s="663" t="s">
        <v>4948</v>
      </c>
      <c r="AE1717" s="663" t="s">
        <v>4942</v>
      </c>
      <c r="AF1717" s="663" t="s">
        <v>4946</v>
      </c>
    </row>
    <row r="1718" spans="1:32" s="608" customFormat="1" x14ac:dyDescent="0.25">
      <c r="A1718" s="624"/>
      <c r="B1718" s="617">
        <v>39083007302</v>
      </c>
      <c r="C1718" s="617" t="s">
        <v>3386</v>
      </c>
      <c r="D1718" s="617" t="s">
        <v>222</v>
      </c>
      <c r="E1718" s="617" t="s">
        <v>1672</v>
      </c>
      <c r="F1718" s="617" t="s">
        <v>26</v>
      </c>
      <c r="G1718" s="624"/>
      <c r="O1718" s="616"/>
      <c r="P1718" s="616"/>
      <c r="Q1718" s="616"/>
      <c r="AA1718" s="624"/>
      <c r="AB1718" s="663">
        <v>39089754101</v>
      </c>
      <c r="AC1718" s="663" t="s">
        <v>6650</v>
      </c>
      <c r="AD1718" s="663" t="s">
        <v>4948</v>
      </c>
      <c r="AE1718" s="663" t="s">
        <v>4931</v>
      </c>
      <c r="AF1718" s="663" t="s">
        <v>4946</v>
      </c>
    </row>
    <row r="1719" spans="1:32" s="608" customFormat="1" x14ac:dyDescent="0.25">
      <c r="A1719" s="624"/>
      <c r="B1719" s="617">
        <v>39083007400</v>
      </c>
      <c r="C1719" s="617" t="s">
        <v>3387</v>
      </c>
      <c r="D1719" s="617" t="s">
        <v>222</v>
      </c>
      <c r="E1719" s="617" t="s">
        <v>1672</v>
      </c>
      <c r="F1719" s="617" t="s">
        <v>26</v>
      </c>
      <c r="G1719" s="624"/>
      <c r="O1719" s="616"/>
      <c r="P1719" s="616"/>
      <c r="Q1719" s="616"/>
      <c r="AA1719" s="624"/>
      <c r="AB1719" s="663">
        <v>39089754102</v>
      </c>
      <c r="AC1719" s="663" t="s">
        <v>6651</v>
      </c>
      <c r="AD1719" s="663" t="s">
        <v>4941</v>
      </c>
      <c r="AE1719" s="663" t="s">
        <v>4928</v>
      </c>
      <c r="AF1719" s="663" t="s">
        <v>4929</v>
      </c>
    </row>
    <row r="1720" spans="1:32" s="608" customFormat="1" x14ac:dyDescent="0.25">
      <c r="A1720" s="624"/>
      <c r="B1720" s="617">
        <v>39083007500</v>
      </c>
      <c r="C1720" s="617" t="s">
        <v>3388</v>
      </c>
      <c r="D1720" s="617" t="s">
        <v>222</v>
      </c>
      <c r="E1720" s="617" t="s">
        <v>1672</v>
      </c>
      <c r="F1720" s="617" t="s">
        <v>26</v>
      </c>
      <c r="G1720" s="624"/>
      <c r="O1720" s="616"/>
      <c r="P1720" s="616"/>
      <c r="Q1720" s="616"/>
      <c r="AA1720" s="624"/>
      <c r="AB1720" s="663">
        <v>39089754400</v>
      </c>
      <c r="AC1720" s="663" t="s">
        <v>6652</v>
      </c>
      <c r="AD1720" s="663" t="s">
        <v>4950</v>
      </c>
      <c r="AE1720" s="663" t="s">
        <v>4939</v>
      </c>
      <c r="AF1720" s="663" t="s">
        <v>4929</v>
      </c>
    </row>
    <row r="1721" spans="1:32" s="608" customFormat="1" x14ac:dyDescent="0.25">
      <c r="A1721" s="624"/>
      <c r="B1721" s="617">
        <v>39083007600</v>
      </c>
      <c r="C1721" s="617" t="s">
        <v>3389</v>
      </c>
      <c r="D1721" s="617" t="s">
        <v>222</v>
      </c>
      <c r="E1721" s="617" t="s">
        <v>1672</v>
      </c>
      <c r="F1721" s="617" t="s">
        <v>26</v>
      </c>
      <c r="G1721" s="624"/>
      <c r="O1721" s="616"/>
      <c r="P1721" s="616"/>
      <c r="Q1721" s="616"/>
      <c r="AA1721" s="624"/>
      <c r="AB1721" s="663">
        <v>39089754700</v>
      </c>
      <c r="AC1721" s="663" t="s">
        <v>6653</v>
      </c>
      <c r="AD1721" s="663" t="s">
        <v>4927</v>
      </c>
      <c r="AE1721" s="663" t="s">
        <v>4934</v>
      </c>
      <c r="AF1721" s="663" t="s">
        <v>4929</v>
      </c>
    </row>
    <row r="1722" spans="1:32" s="608" customFormat="1" x14ac:dyDescent="0.25">
      <c r="A1722" s="624"/>
      <c r="B1722" s="617">
        <v>39083007701</v>
      </c>
      <c r="C1722" s="617" t="s">
        <v>3390</v>
      </c>
      <c r="D1722" s="617" t="s">
        <v>222</v>
      </c>
      <c r="E1722" s="617" t="s">
        <v>1672</v>
      </c>
      <c r="F1722" s="617" t="s">
        <v>26</v>
      </c>
      <c r="G1722" s="624"/>
      <c r="O1722" s="616"/>
      <c r="P1722" s="616"/>
      <c r="Q1722" s="616"/>
      <c r="AA1722" s="624"/>
      <c r="AB1722" s="663">
        <v>39089755000</v>
      </c>
      <c r="AC1722" s="663" t="s">
        <v>6654</v>
      </c>
      <c r="AD1722" s="663" t="s">
        <v>4938</v>
      </c>
      <c r="AE1722" s="663" t="s">
        <v>4934</v>
      </c>
      <c r="AF1722" s="663" t="s">
        <v>4929</v>
      </c>
    </row>
    <row r="1723" spans="1:32" s="608" customFormat="1" x14ac:dyDescent="0.25">
      <c r="A1723" s="624"/>
      <c r="B1723" s="617">
        <v>39083007702</v>
      </c>
      <c r="C1723" s="617" t="s">
        <v>3391</v>
      </c>
      <c r="D1723" s="617" t="s">
        <v>222</v>
      </c>
      <c r="E1723" s="617" t="s">
        <v>1672</v>
      </c>
      <c r="F1723" s="617" t="s">
        <v>26</v>
      </c>
      <c r="G1723" s="624"/>
      <c r="O1723" s="616"/>
      <c r="P1723" s="616"/>
      <c r="Q1723" s="616"/>
      <c r="AA1723" s="624"/>
      <c r="AB1723" s="663">
        <v>39089755300</v>
      </c>
      <c r="AC1723" s="663" t="s">
        <v>6655</v>
      </c>
      <c r="AD1723" s="663" t="s">
        <v>4941</v>
      </c>
      <c r="AE1723" s="663" t="s">
        <v>4931</v>
      </c>
      <c r="AF1723" s="663" t="s">
        <v>4929</v>
      </c>
    </row>
    <row r="1724" spans="1:32" s="608" customFormat="1" x14ac:dyDescent="0.25">
      <c r="A1724" s="624"/>
      <c r="B1724" s="617">
        <v>39085200100</v>
      </c>
      <c r="C1724" s="617" t="s">
        <v>3392</v>
      </c>
      <c r="D1724" s="617" t="s">
        <v>66</v>
      </c>
      <c r="E1724" s="617" t="s">
        <v>4853</v>
      </c>
      <c r="F1724" s="617" t="s">
        <v>26</v>
      </c>
      <c r="G1724" s="624"/>
      <c r="O1724" s="616"/>
      <c r="P1724" s="616"/>
      <c r="Q1724" s="616"/>
      <c r="AA1724" s="624"/>
      <c r="AB1724" s="663">
        <v>39089755600</v>
      </c>
      <c r="AC1724" s="663" t="s">
        <v>6656</v>
      </c>
      <c r="AD1724" s="663" t="s">
        <v>4938</v>
      </c>
      <c r="AE1724" s="663" t="s">
        <v>4939</v>
      </c>
      <c r="AF1724" s="663" t="s">
        <v>4929</v>
      </c>
    </row>
    <row r="1725" spans="1:32" s="608" customFormat="1" x14ac:dyDescent="0.25">
      <c r="A1725" s="624"/>
      <c r="B1725" s="617">
        <v>39085200200</v>
      </c>
      <c r="C1725" s="617" t="s">
        <v>3393</v>
      </c>
      <c r="D1725" s="617" t="s">
        <v>66</v>
      </c>
      <c r="E1725" s="617" t="s">
        <v>4853</v>
      </c>
      <c r="F1725" s="617" t="s">
        <v>26</v>
      </c>
      <c r="G1725" s="624"/>
      <c r="O1725" s="616"/>
      <c r="P1725" s="616"/>
      <c r="Q1725" s="616"/>
      <c r="AA1725" s="624"/>
      <c r="AB1725" s="663">
        <v>39089755900</v>
      </c>
      <c r="AC1725" s="663" t="s">
        <v>6657</v>
      </c>
      <c r="AD1725" s="663" t="s">
        <v>4948</v>
      </c>
      <c r="AE1725" s="663" t="s">
        <v>4942</v>
      </c>
      <c r="AF1725" s="663" t="s">
        <v>4946</v>
      </c>
    </row>
    <row r="1726" spans="1:32" s="608" customFormat="1" x14ac:dyDescent="0.25">
      <c r="A1726" s="624"/>
      <c r="B1726" s="617">
        <v>39085200300</v>
      </c>
      <c r="C1726" s="617" t="s">
        <v>3394</v>
      </c>
      <c r="D1726" s="617" t="s">
        <v>66</v>
      </c>
      <c r="E1726" s="617" t="s">
        <v>4853</v>
      </c>
      <c r="F1726" s="617" t="s">
        <v>26</v>
      </c>
      <c r="G1726" s="624"/>
      <c r="O1726" s="616"/>
      <c r="P1726" s="616"/>
      <c r="Q1726" s="616"/>
      <c r="AA1726" s="624"/>
      <c r="AB1726" s="663">
        <v>39089756201</v>
      </c>
      <c r="AC1726" s="663" t="s">
        <v>6658</v>
      </c>
      <c r="AD1726" s="663" t="s">
        <v>4941</v>
      </c>
      <c r="AE1726" s="663" t="s">
        <v>4931</v>
      </c>
      <c r="AF1726" s="663" t="s">
        <v>4946</v>
      </c>
    </row>
    <row r="1727" spans="1:32" s="608" customFormat="1" x14ac:dyDescent="0.25">
      <c r="A1727" s="624"/>
      <c r="B1727" s="617">
        <v>39085200400</v>
      </c>
      <c r="C1727" s="617" t="s">
        <v>3395</v>
      </c>
      <c r="D1727" s="617" t="s">
        <v>66</v>
      </c>
      <c r="E1727" s="617" t="s">
        <v>4853</v>
      </c>
      <c r="F1727" s="617" t="s">
        <v>26</v>
      </c>
      <c r="G1727" s="624"/>
      <c r="O1727" s="616"/>
      <c r="P1727" s="616"/>
      <c r="Q1727" s="616"/>
      <c r="AA1727" s="624"/>
      <c r="AB1727" s="663">
        <v>39089756202</v>
      </c>
      <c r="AC1727" s="663" t="s">
        <v>6659</v>
      </c>
      <c r="AD1727" s="663" t="s">
        <v>4948</v>
      </c>
      <c r="AE1727" s="663" t="s">
        <v>4934</v>
      </c>
      <c r="AF1727" s="663" t="s">
        <v>4946</v>
      </c>
    </row>
    <row r="1728" spans="1:32" s="608" customFormat="1" x14ac:dyDescent="0.25">
      <c r="A1728" s="624"/>
      <c r="B1728" s="617">
        <v>39085200500</v>
      </c>
      <c r="C1728" s="617" t="s">
        <v>3396</v>
      </c>
      <c r="D1728" s="617" t="s">
        <v>66</v>
      </c>
      <c r="E1728" s="617" t="s">
        <v>4853</v>
      </c>
      <c r="F1728" s="617" t="s">
        <v>26</v>
      </c>
      <c r="G1728" s="624"/>
      <c r="O1728" s="616"/>
      <c r="P1728" s="616"/>
      <c r="Q1728" s="616"/>
      <c r="AA1728" s="624"/>
      <c r="AB1728" s="663">
        <v>39089756500</v>
      </c>
      <c r="AC1728" s="663" t="s">
        <v>6660</v>
      </c>
      <c r="AD1728" s="663" t="s">
        <v>4950</v>
      </c>
      <c r="AE1728" s="663" t="s">
        <v>4942</v>
      </c>
      <c r="AF1728" s="663" t="s">
        <v>4946</v>
      </c>
    </row>
    <row r="1729" spans="1:32" s="608" customFormat="1" x14ac:dyDescent="0.25">
      <c r="A1729" s="624"/>
      <c r="B1729" s="617">
        <v>39085200600</v>
      </c>
      <c r="C1729" s="617" t="s">
        <v>3397</v>
      </c>
      <c r="D1729" s="617" t="s">
        <v>66</v>
      </c>
      <c r="E1729" s="617" t="s">
        <v>4853</v>
      </c>
      <c r="F1729" s="617" t="s">
        <v>26</v>
      </c>
      <c r="G1729" s="624"/>
      <c r="O1729" s="616"/>
      <c r="P1729" s="616"/>
      <c r="Q1729" s="616"/>
      <c r="AA1729" s="624"/>
      <c r="AB1729" s="663">
        <v>39089756800</v>
      </c>
      <c r="AC1729" s="663" t="s">
        <v>6661</v>
      </c>
      <c r="AD1729" s="663" t="s">
        <v>4948</v>
      </c>
      <c r="AE1729" s="663" t="s">
        <v>4928</v>
      </c>
      <c r="AF1729" s="663" t="s">
        <v>4946</v>
      </c>
    </row>
    <row r="1730" spans="1:32" s="608" customFormat="1" x14ac:dyDescent="0.25">
      <c r="A1730" s="624"/>
      <c r="B1730" s="617">
        <v>39085200700</v>
      </c>
      <c r="C1730" s="617" t="s">
        <v>3398</v>
      </c>
      <c r="D1730" s="617" t="s">
        <v>66</v>
      </c>
      <c r="E1730" s="617" t="s">
        <v>4853</v>
      </c>
      <c r="F1730" s="617" t="s">
        <v>26</v>
      </c>
      <c r="G1730" s="624"/>
      <c r="O1730" s="616"/>
      <c r="P1730" s="616"/>
      <c r="Q1730" s="616"/>
      <c r="AA1730" s="624"/>
      <c r="AB1730" s="663">
        <v>39089757100</v>
      </c>
      <c r="AC1730" s="663" t="s">
        <v>6662</v>
      </c>
      <c r="AD1730" s="663" t="s">
        <v>4938</v>
      </c>
      <c r="AE1730" s="663" t="s">
        <v>4939</v>
      </c>
      <c r="AF1730" s="663" t="s">
        <v>4929</v>
      </c>
    </row>
    <row r="1731" spans="1:32" s="608" customFormat="1" x14ac:dyDescent="0.25">
      <c r="A1731" s="624"/>
      <c r="B1731" s="617">
        <v>39085200800</v>
      </c>
      <c r="C1731" s="617" t="s">
        <v>3399</v>
      </c>
      <c r="D1731" s="617" t="s">
        <v>66</v>
      </c>
      <c r="E1731" s="617" t="s">
        <v>4853</v>
      </c>
      <c r="F1731" s="617" t="s">
        <v>26</v>
      </c>
      <c r="G1731" s="624"/>
      <c r="O1731" s="616"/>
      <c r="P1731" s="616"/>
      <c r="Q1731" s="616"/>
      <c r="AA1731" s="624"/>
      <c r="AB1731" s="663">
        <v>39089757400</v>
      </c>
      <c r="AC1731" s="663" t="s">
        <v>6663</v>
      </c>
      <c r="AD1731" s="663" t="s">
        <v>4938</v>
      </c>
      <c r="AE1731" s="663" t="s">
        <v>4931</v>
      </c>
      <c r="AF1731" s="663" t="s">
        <v>4929</v>
      </c>
    </row>
    <row r="1732" spans="1:32" s="608" customFormat="1" x14ac:dyDescent="0.25">
      <c r="A1732" s="624"/>
      <c r="B1732" s="617">
        <v>39085200900</v>
      </c>
      <c r="C1732" s="617" t="s">
        <v>3400</v>
      </c>
      <c r="D1732" s="617" t="s">
        <v>66</v>
      </c>
      <c r="E1732" s="617" t="s">
        <v>4853</v>
      </c>
      <c r="F1732" s="617" t="s">
        <v>26</v>
      </c>
      <c r="G1732" s="624"/>
      <c r="O1732" s="616"/>
      <c r="P1732" s="616"/>
      <c r="Q1732" s="616"/>
      <c r="AA1732" s="624"/>
      <c r="AB1732" s="663">
        <v>39089757700</v>
      </c>
      <c r="AC1732" s="663" t="s">
        <v>6664</v>
      </c>
      <c r="AD1732" s="663" t="s">
        <v>4938</v>
      </c>
      <c r="AE1732" s="663" t="s">
        <v>4934</v>
      </c>
      <c r="AF1732" s="663" t="s">
        <v>4929</v>
      </c>
    </row>
    <row r="1733" spans="1:32" s="608" customFormat="1" x14ac:dyDescent="0.25">
      <c r="A1733" s="624"/>
      <c r="B1733" s="617">
        <v>39085201000</v>
      </c>
      <c r="C1733" s="617" t="s">
        <v>3401</v>
      </c>
      <c r="D1733" s="617" t="s">
        <v>66</v>
      </c>
      <c r="E1733" s="617" t="s">
        <v>4853</v>
      </c>
      <c r="F1733" s="617" t="s">
        <v>26</v>
      </c>
      <c r="G1733" s="624"/>
      <c r="O1733" s="616"/>
      <c r="P1733" s="616"/>
      <c r="Q1733" s="616"/>
      <c r="AA1733" s="624"/>
      <c r="AB1733" s="663">
        <v>39089758300</v>
      </c>
      <c r="AC1733" s="663" t="s">
        <v>6665</v>
      </c>
      <c r="AD1733" s="663" t="s">
        <v>4927</v>
      </c>
      <c r="AE1733" s="663" t="s">
        <v>4939</v>
      </c>
      <c r="AF1733" s="663" t="s">
        <v>4946</v>
      </c>
    </row>
    <row r="1734" spans="1:32" s="608" customFormat="1" x14ac:dyDescent="0.25">
      <c r="A1734" s="624"/>
      <c r="B1734" s="617">
        <v>39085201101</v>
      </c>
      <c r="C1734" s="617" t="s">
        <v>3402</v>
      </c>
      <c r="D1734" s="617" t="s">
        <v>66</v>
      </c>
      <c r="E1734" s="617" t="s">
        <v>4853</v>
      </c>
      <c r="F1734" s="617" t="s">
        <v>26</v>
      </c>
      <c r="G1734" s="624"/>
      <c r="O1734" s="616"/>
      <c r="P1734" s="616"/>
      <c r="Q1734" s="616"/>
      <c r="AA1734" s="624"/>
      <c r="AB1734" s="663">
        <v>39089758600</v>
      </c>
      <c r="AC1734" s="663" t="s">
        <v>6666</v>
      </c>
      <c r="AD1734" s="663" t="s">
        <v>4941</v>
      </c>
      <c r="AE1734" s="663" t="s">
        <v>4931</v>
      </c>
      <c r="AF1734" s="663" t="s">
        <v>4929</v>
      </c>
    </row>
    <row r="1735" spans="1:32" s="608" customFormat="1" x14ac:dyDescent="0.25">
      <c r="A1735" s="624"/>
      <c r="B1735" s="617">
        <v>39085201102</v>
      </c>
      <c r="C1735" s="617" t="s">
        <v>3403</v>
      </c>
      <c r="D1735" s="617" t="s">
        <v>66</v>
      </c>
      <c r="E1735" s="617" t="s">
        <v>4853</v>
      </c>
      <c r="F1735" s="617" t="s">
        <v>26</v>
      </c>
      <c r="G1735" s="624"/>
      <c r="O1735" s="616"/>
      <c r="P1735" s="616"/>
      <c r="Q1735" s="616"/>
      <c r="AA1735" s="624"/>
      <c r="AB1735" s="663">
        <v>39089758900</v>
      </c>
      <c r="AC1735" s="663" t="s">
        <v>6667</v>
      </c>
      <c r="AD1735" s="663" t="s">
        <v>4950</v>
      </c>
      <c r="AE1735" s="663" t="s">
        <v>4931</v>
      </c>
      <c r="AF1735" s="663" t="s">
        <v>4929</v>
      </c>
    </row>
    <row r="1736" spans="1:32" s="608" customFormat="1" x14ac:dyDescent="0.25">
      <c r="A1736" s="624"/>
      <c r="B1736" s="617">
        <v>39085201200</v>
      </c>
      <c r="C1736" s="617" t="s">
        <v>3404</v>
      </c>
      <c r="D1736" s="617" t="s">
        <v>66</v>
      </c>
      <c r="E1736" s="617" t="s">
        <v>4853</v>
      </c>
      <c r="F1736" s="617" t="s">
        <v>26</v>
      </c>
      <c r="G1736" s="624"/>
      <c r="O1736" s="616"/>
      <c r="P1736" s="616"/>
      <c r="Q1736" s="616"/>
      <c r="AA1736" s="624"/>
      <c r="AB1736" s="663">
        <v>39089759000</v>
      </c>
      <c r="AC1736" s="663" t="s">
        <v>6668</v>
      </c>
      <c r="AD1736" s="663" t="s">
        <v>4950</v>
      </c>
      <c r="AE1736" s="663" t="s">
        <v>4934</v>
      </c>
      <c r="AF1736" s="663" t="s">
        <v>4962</v>
      </c>
    </row>
    <row r="1737" spans="1:32" s="608" customFormat="1" x14ac:dyDescent="0.25">
      <c r="A1737" s="624"/>
      <c r="B1737" s="617">
        <v>39085201300</v>
      </c>
      <c r="C1737" s="617" t="s">
        <v>3405</v>
      </c>
      <c r="D1737" s="617" t="s">
        <v>66</v>
      </c>
      <c r="E1737" s="617" t="s">
        <v>4853</v>
      </c>
      <c r="F1737" s="617" t="s">
        <v>26</v>
      </c>
      <c r="G1737" s="624"/>
      <c r="O1737" s="616"/>
      <c r="P1737" s="616"/>
      <c r="Q1737" s="616"/>
      <c r="AA1737" s="624"/>
      <c r="AB1737" s="663">
        <v>39089759100</v>
      </c>
      <c r="AC1737" s="663" t="s">
        <v>6669</v>
      </c>
      <c r="AD1737" s="663" t="s">
        <v>4941</v>
      </c>
      <c r="AE1737" s="663" t="s">
        <v>4934</v>
      </c>
      <c r="AF1737" s="663" t="s">
        <v>4929</v>
      </c>
    </row>
    <row r="1738" spans="1:32" s="608" customFormat="1" x14ac:dyDescent="0.25">
      <c r="A1738" s="624"/>
      <c r="B1738" s="617">
        <v>39085201400</v>
      </c>
      <c r="C1738" s="617" t="s">
        <v>3406</v>
      </c>
      <c r="D1738" s="617" t="s">
        <v>66</v>
      </c>
      <c r="E1738" s="617" t="s">
        <v>4853</v>
      </c>
      <c r="F1738" s="617" t="s">
        <v>26</v>
      </c>
      <c r="G1738" s="624"/>
      <c r="O1738" s="616"/>
      <c r="P1738" s="616"/>
      <c r="Q1738" s="616"/>
      <c r="AA1738" s="624"/>
      <c r="AB1738" s="663">
        <v>39091003800</v>
      </c>
      <c r="AC1738" s="663" t="s">
        <v>6670</v>
      </c>
      <c r="AD1738" s="663" t="s">
        <v>4948</v>
      </c>
      <c r="AE1738" s="663" t="s">
        <v>4934</v>
      </c>
      <c r="AF1738" s="663" t="s">
        <v>4929</v>
      </c>
    </row>
    <row r="1739" spans="1:32" s="608" customFormat="1" x14ac:dyDescent="0.25">
      <c r="A1739" s="624"/>
      <c r="B1739" s="617">
        <v>39085201500</v>
      </c>
      <c r="C1739" s="617" t="s">
        <v>3407</v>
      </c>
      <c r="D1739" s="617" t="s">
        <v>66</v>
      </c>
      <c r="E1739" s="617" t="s">
        <v>4853</v>
      </c>
      <c r="F1739" s="617" t="s">
        <v>26</v>
      </c>
      <c r="G1739" s="624"/>
      <c r="O1739" s="616"/>
      <c r="P1739" s="616"/>
      <c r="Q1739" s="616"/>
      <c r="AA1739" s="624"/>
      <c r="AB1739" s="663">
        <v>39091003900</v>
      </c>
      <c r="AC1739" s="663" t="s">
        <v>6671</v>
      </c>
      <c r="AD1739" s="663" t="s">
        <v>4941</v>
      </c>
      <c r="AE1739" s="663" t="s">
        <v>4942</v>
      </c>
      <c r="AF1739" s="663" t="s">
        <v>4929</v>
      </c>
    </row>
    <row r="1740" spans="1:32" s="608" customFormat="1" x14ac:dyDescent="0.25">
      <c r="A1740" s="624"/>
      <c r="B1740" s="617">
        <v>39085201600</v>
      </c>
      <c r="C1740" s="617" t="s">
        <v>3408</v>
      </c>
      <c r="D1740" s="617" t="s">
        <v>66</v>
      </c>
      <c r="E1740" s="617" t="s">
        <v>4853</v>
      </c>
      <c r="F1740" s="617" t="s">
        <v>26</v>
      </c>
      <c r="G1740" s="624"/>
      <c r="O1740" s="616"/>
      <c r="P1740" s="616"/>
      <c r="Q1740" s="616"/>
      <c r="AA1740" s="624"/>
      <c r="AB1740" s="663">
        <v>39091004000</v>
      </c>
      <c r="AC1740" s="663" t="s">
        <v>6672</v>
      </c>
      <c r="AD1740" s="663" t="s">
        <v>4948</v>
      </c>
      <c r="AE1740" s="663" t="s">
        <v>4942</v>
      </c>
      <c r="AF1740" s="663" t="s">
        <v>4929</v>
      </c>
    </row>
    <row r="1741" spans="1:32" s="608" customFormat="1" x14ac:dyDescent="0.25">
      <c r="A1741" s="624"/>
      <c r="B1741" s="617">
        <v>39085201700</v>
      </c>
      <c r="C1741" s="617" t="s">
        <v>3409</v>
      </c>
      <c r="D1741" s="617" t="s">
        <v>66</v>
      </c>
      <c r="E1741" s="617" t="s">
        <v>4853</v>
      </c>
      <c r="F1741" s="617" t="s">
        <v>26</v>
      </c>
      <c r="G1741" s="624"/>
      <c r="O1741" s="616"/>
      <c r="P1741" s="616"/>
      <c r="Q1741" s="616"/>
      <c r="AA1741" s="624"/>
      <c r="AB1741" s="663">
        <v>39091004100</v>
      </c>
      <c r="AC1741" s="663" t="s">
        <v>6673</v>
      </c>
      <c r="AD1741" s="663" t="s">
        <v>4927</v>
      </c>
      <c r="AE1741" s="663" t="s">
        <v>4942</v>
      </c>
      <c r="AF1741" s="663" t="s">
        <v>4929</v>
      </c>
    </row>
    <row r="1742" spans="1:32" s="608" customFormat="1" x14ac:dyDescent="0.25">
      <c r="A1742" s="624"/>
      <c r="B1742" s="617">
        <v>39085201800</v>
      </c>
      <c r="C1742" s="617" t="s">
        <v>3410</v>
      </c>
      <c r="D1742" s="617" t="s">
        <v>66</v>
      </c>
      <c r="E1742" s="617" t="s">
        <v>4853</v>
      </c>
      <c r="F1742" s="617" t="s">
        <v>26</v>
      </c>
      <c r="G1742" s="624"/>
      <c r="O1742" s="616"/>
      <c r="P1742" s="616"/>
      <c r="Q1742" s="616"/>
      <c r="AA1742" s="624"/>
      <c r="AB1742" s="663">
        <v>39091004200</v>
      </c>
      <c r="AC1742" s="663" t="s">
        <v>6674</v>
      </c>
      <c r="AD1742" s="663" t="s">
        <v>4927</v>
      </c>
      <c r="AE1742" s="663" t="s">
        <v>4931</v>
      </c>
      <c r="AF1742" s="663" t="s">
        <v>4929</v>
      </c>
    </row>
    <row r="1743" spans="1:32" s="608" customFormat="1" x14ac:dyDescent="0.25">
      <c r="A1743" s="624"/>
      <c r="B1743" s="617">
        <v>39085201900</v>
      </c>
      <c r="C1743" s="617" t="s">
        <v>3411</v>
      </c>
      <c r="D1743" s="617" t="s">
        <v>66</v>
      </c>
      <c r="E1743" s="617" t="s">
        <v>4853</v>
      </c>
      <c r="F1743" s="617" t="s">
        <v>26</v>
      </c>
      <c r="G1743" s="624"/>
      <c r="O1743" s="616"/>
      <c r="P1743" s="616"/>
      <c r="Q1743" s="616"/>
      <c r="AA1743" s="624"/>
      <c r="AB1743" s="663">
        <v>39091004300</v>
      </c>
      <c r="AC1743" s="663" t="s">
        <v>6675</v>
      </c>
      <c r="AD1743" s="663" t="s">
        <v>4948</v>
      </c>
      <c r="AE1743" s="663" t="s">
        <v>4939</v>
      </c>
      <c r="AF1743" s="663" t="s">
        <v>4929</v>
      </c>
    </row>
    <row r="1744" spans="1:32" s="608" customFormat="1" x14ac:dyDescent="0.25">
      <c r="A1744" s="624"/>
      <c r="B1744" s="617">
        <v>39085202000</v>
      </c>
      <c r="C1744" s="617" t="s">
        <v>3412</v>
      </c>
      <c r="D1744" s="617" t="s">
        <v>66</v>
      </c>
      <c r="E1744" s="617" t="s">
        <v>4853</v>
      </c>
      <c r="F1744" s="617" t="s">
        <v>26</v>
      </c>
      <c r="G1744" s="624"/>
      <c r="O1744" s="616"/>
      <c r="P1744" s="616"/>
      <c r="Q1744" s="616"/>
      <c r="AA1744" s="624"/>
      <c r="AB1744" s="663">
        <v>39091004400</v>
      </c>
      <c r="AC1744" s="663" t="s">
        <v>6676</v>
      </c>
      <c r="AD1744" s="663" t="s">
        <v>4950</v>
      </c>
      <c r="AE1744" s="663" t="s">
        <v>4934</v>
      </c>
      <c r="AF1744" s="663" t="s">
        <v>4929</v>
      </c>
    </row>
    <row r="1745" spans="1:32" s="608" customFormat="1" x14ac:dyDescent="0.25">
      <c r="A1745" s="624"/>
      <c r="B1745" s="617">
        <v>39085202100</v>
      </c>
      <c r="C1745" s="617" t="s">
        <v>3413</v>
      </c>
      <c r="D1745" s="617" t="s">
        <v>66</v>
      </c>
      <c r="E1745" s="617" t="s">
        <v>4853</v>
      </c>
      <c r="F1745" s="617" t="s">
        <v>26</v>
      </c>
      <c r="G1745" s="624"/>
      <c r="O1745" s="616"/>
      <c r="P1745" s="616"/>
      <c r="Q1745" s="616"/>
      <c r="AA1745" s="624"/>
      <c r="AB1745" s="663">
        <v>39091004500</v>
      </c>
      <c r="AC1745" s="663" t="s">
        <v>6677</v>
      </c>
      <c r="AD1745" s="663" t="s">
        <v>4938</v>
      </c>
      <c r="AE1745" s="663" t="s">
        <v>4939</v>
      </c>
      <c r="AF1745" s="663" t="s">
        <v>4983</v>
      </c>
    </row>
    <row r="1746" spans="1:32" s="608" customFormat="1" x14ac:dyDescent="0.25">
      <c r="A1746" s="624"/>
      <c r="B1746" s="617">
        <v>39085202400</v>
      </c>
      <c r="C1746" s="617" t="s">
        <v>3414</v>
      </c>
      <c r="D1746" s="617" t="s">
        <v>66</v>
      </c>
      <c r="E1746" s="617" t="s">
        <v>4853</v>
      </c>
      <c r="F1746" s="617" t="s">
        <v>26</v>
      </c>
      <c r="G1746" s="624"/>
      <c r="O1746" s="616"/>
      <c r="P1746" s="616"/>
      <c r="Q1746" s="616"/>
      <c r="AA1746" s="624"/>
      <c r="AB1746" s="663">
        <v>39091004600</v>
      </c>
      <c r="AC1746" s="663" t="s">
        <v>6678</v>
      </c>
      <c r="AD1746" s="663" t="s">
        <v>4948</v>
      </c>
      <c r="AE1746" s="663" t="s">
        <v>4942</v>
      </c>
      <c r="AF1746" s="663" t="s">
        <v>4929</v>
      </c>
    </row>
    <row r="1747" spans="1:32" s="608" customFormat="1" x14ac:dyDescent="0.25">
      <c r="A1747" s="624"/>
      <c r="B1747" s="617">
        <v>39085202500</v>
      </c>
      <c r="C1747" s="617" t="s">
        <v>3415</v>
      </c>
      <c r="D1747" s="617" t="s">
        <v>66</v>
      </c>
      <c r="E1747" s="617" t="s">
        <v>4853</v>
      </c>
      <c r="F1747" s="617" t="s">
        <v>26</v>
      </c>
      <c r="G1747" s="624"/>
      <c r="O1747" s="616"/>
      <c r="P1747" s="616"/>
      <c r="Q1747" s="616"/>
      <c r="AA1747" s="624"/>
      <c r="AB1747" s="663">
        <v>39091004700</v>
      </c>
      <c r="AC1747" s="663" t="s">
        <v>6679</v>
      </c>
      <c r="AD1747" s="663" t="s">
        <v>4938</v>
      </c>
      <c r="AE1747" s="663" t="s">
        <v>4934</v>
      </c>
      <c r="AF1747" s="663" t="s">
        <v>4929</v>
      </c>
    </row>
    <row r="1748" spans="1:32" s="608" customFormat="1" x14ac:dyDescent="0.25">
      <c r="A1748" s="624"/>
      <c r="B1748" s="617">
        <v>39085202600</v>
      </c>
      <c r="C1748" s="617" t="s">
        <v>3416</v>
      </c>
      <c r="D1748" s="617" t="s">
        <v>66</v>
      </c>
      <c r="E1748" s="617" t="s">
        <v>4853</v>
      </c>
      <c r="F1748" s="617" t="s">
        <v>26</v>
      </c>
      <c r="G1748" s="624"/>
      <c r="O1748" s="616"/>
      <c r="P1748" s="616"/>
      <c r="Q1748" s="616"/>
      <c r="AA1748" s="624"/>
      <c r="AB1748" s="663">
        <v>39091004800</v>
      </c>
      <c r="AC1748" s="663" t="s">
        <v>6680</v>
      </c>
      <c r="AD1748" s="663" t="s">
        <v>4941</v>
      </c>
      <c r="AE1748" s="663" t="s">
        <v>4942</v>
      </c>
      <c r="AF1748" s="663" t="s">
        <v>4929</v>
      </c>
    </row>
    <row r="1749" spans="1:32" s="608" customFormat="1" x14ac:dyDescent="0.25">
      <c r="A1749" s="624"/>
      <c r="B1749" s="617">
        <v>39085202700</v>
      </c>
      <c r="C1749" s="617" t="s">
        <v>3417</v>
      </c>
      <c r="D1749" s="617" t="s">
        <v>66</v>
      </c>
      <c r="E1749" s="617" t="s">
        <v>4853</v>
      </c>
      <c r="F1749" s="617" t="s">
        <v>26</v>
      </c>
      <c r="G1749" s="624"/>
      <c r="O1749" s="616"/>
      <c r="P1749" s="616"/>
      <c r="Q1749" s="616"/>
      <c r="AA1749" s="624"/>
      <c r="AB1749" s="663">
        <v>39093010200</v>
      </c>
      <c r="AC1749" s="663" t="s">
        <v>6681</v>
      </c>
      <c r="AD1749" s="663" t="s">
        <v>4938</v>
      </c>
      <c r="AE1749" s="663" t="s">
        <v>4931</v>
      </c>
      <c r="AF1749" s="663" t="s">
        <v>4946</v>
      </c>
    </row>
    <row r="1750" spans="1:32" s="608" customFormat="1" x14ac:dyDescent="0.25">
      <c r="A1750" s="624"/>
      <c r="B1750" s="617">
        <v>39085202800</v>
      </c>
      <c r="C1750" s="617" t="s">
        <v>3418</v>
      </c>
      <c r="D1750" s="617" t="s">
        <v>66</v>
      </c>
      <c r="E1750" s="617" t="s">
        <v>4853</v>
      </c>
      <c r="F1750" s="617" t="s">
        <v>26</v>
      </c>
      <c r="G1750" s="624"/>
      <c r="O1750" s="616"/>
      <c r="P1750" s="616"/>
      <c r="Q1750" s="616"/>
      <c r="AA1750" s="624"/>
      <c r="AB1750" s="663">
        <v>39093010300</v>
      </c>
      <c r="AC1750" s="663" t="s">
        <v>6682</v>
      </c>
      <c r="AD1750" s="663" t="s">
        <v>4938</v>
      </c>
      <c r="AE1750" s="663" t="s">
        <v>4931</v>
      </c>
      <c r="AF1750" s="663" t="s">
        <v>4946</v>
      </c>
    </row>
    <row r="1751" spans="1:32" s="608" customFormat="1" x14ac:dyDescent="0.25">
      <c r="A1751" s="624"/>
      <c r="B1751" s="617">
        <v>39085202901</v>
      </c>
      <c r="C1751" s="617" t="s">
        <v>3419</v>
      </c>
      <c r="D1751" s="617" t="s">
        <v>66</v>
      </c>
      <c r="E1751" s="617" t="s">
        <v>4853</v>
      </c>
      <c r="F1751" s="617" t="s">
        <v>26</v>
      </c>
      <c r="G1751" s="624"/>
      <c r="O1751" s="616"/>
      <c r="P1751" s="616"/>
      <c r="Q1751" s="616"/>
      <c r="AA1751" s="624"/>
      <c r="AB1751" s="663">
        <v>39093010400</v>
      </c>
      <c r="AC1751" s="663" t="s">
        <v>6683</v>
      </c>
      <c r="AD1751" s="663" t="s">
        <v>4941</v>
      </c>
      <c r="AE1751" s="663" t="s">
        <v>4931</v>
      </c>
      <c r="AF1751" s="663" t="s">
        <v>4946</v>
      </c>
    </row>
    <row r="1752" spans="1:32" s="608" customFormat="1" x14ac:dyDescent="0.25">
      <c r="A1752" s="624"/>
      <c r="B1752" s="617">
        <v>39085202902</v>
      </c>
      <c r="C1752" s="617" t="s">
        <v>3420</v>
      </c>
      <c r="D1752" s="617" t="s">
        <v>66</v>
      </c>
      <c r="E1752" s="617" t="s">
        <v>4853</v>
      </c>
      <c r="F1752" s="617" t="s">
        <v>26</v>
      </c>
      <c r="G1752" s="624"/>
      <c r="O1752" s="616"/>
      <c r="P1752" s="616"/>
      <c r="Q1752" s="616"/>
      <c r="AA1752" s="624"/>
      <c r="AB1752" s="663">
        <v>39093013100</v>
      </c>
      <c r="AC1752" s="663" t="s">
        <v>6684</v>
      </c>
      <c r="AD1752" s="663" t="s">
        <v>4938</v>
      </c>
      <c r="AE1752" s="663" t="s">
        <v>4931</v>
      </c>
      <c r="AF1752" s="663" t="s">
        <v>4946</v>
      </c>
    </row>
    <row r="1753" spans="1:32" s="608" customFormat="1" x14ac:dyDescent="0.25">
      <c r="A1753" s="624"/>
      <c r="B1753" s="617">
        <v>39085203000</v>
      </c>
      <c r="C1753" s="617" t="s">
        <v>3421</v>
      </c>
      <c r="D1753" s="617" t="s">
        <v>66</v>
      </c>
      <c r="E1753" s="617" t="s">
        <v>4853</v>
      </c>
      <c r="F1753" s="617" t="s">
        <v>26</v>
      </c>
      <c r="G1753" s="624"/>
      <c r="O1753" s="616"/>
      <c r="P1753" s="616"/>
      <c r="Q1753" s="616"/>
      <c r="AA1753" s="624"/>
      <c r="AB1753" s="663">
        <v>39093013200</v>
      </c>
      <c r="AC1753" s="663" t="s">
        <v>6685</v>
      </c>
      <c r="AD1753" s="663" t="s">
        <v>4938</v>
      </c>
      <c r="AE1753" s="663" t="s">
        <v>4939</v>
      </c>
      <c r="AF1753" s="663" t="s">
        <v>4946</v>
      </c>
    </row>
    <row r="1754" spans="1:32" s="608" customFormat="1" x14ac:dyDescent="0.25">
      <c r="A1754" s="624"/>
      <c r="B1754" s="617">
        <v>39085203200</v>
      </c>
      <c r="C1754" s="617" t="s">
        <v>3422</v>
      </c>
      <c r="D1754" s="617" t="s">
        <v>66</v>
      </c>
      <c r="E1754" s="617" t="s">
        <v>4853</v>
      </c>
      <c r="F1754" s="617" t="s">
        <v>26</v>
      </c>
      <c r="G1754" s="624"/>
      <c r="O1754" s="616"/>
      <c r="P1754" s="616"/>
      <c r="Q1754" s="616"/>
      <c r="AA1754" s="624"/>
      <c r="AB1754" s="663">
        <v>39093021100</v>
      </c>
      <c r="AC1754" s="663" t="s">
        <v>6686</v>
      </c>
      <c r="AD1754" s="663" t="s">
        <v>4950</v>
      </c>
      <c r="AE1754" s="663" t="s">
        <v>4934</v>
      </c>
      <c r="AF1754" s="663" t="s">
        <v>4946</v>
      </c>
    </row>
    <row r="1755" spans="1:32" s="608" customFormat="1" x14ac:dyDescent="0.25">
      <c r="A1755" s="624"/>
      <c r="B1755" s="617">
        <v>39085203400</v>
      </c>
      <c r="C1755" s="617" t="s">
        <v>3423</v>
      </c>
      <c r="D1755" s="617" t="s">
        <v>66</v>
      </c>
      <c r="E1755" s="617" t="s">
        <v>4853</v>
      </c>
      <c r="F1755" s="617" t="s">
        <v>26</v>
      </c>
      <c r="G1755" s="624"/>
      <c r="O1755" s="616"/>
      <c r="P1755" s="616"/>
      <c r="Q1755" s="616"/>
      <c r="AA1755" s="624"/>
      <c r="AB1755" s="663">
        <v>39093021200</v>
      </c>
      <c r="AC1755" s="663" t="s">
        <v>6687</v>
      </c>
      <c r="AD1755" s="663" t="s">
        <v>4950</v>
      </c>
      <c r="AE1755" s="663" t="s">
        <v>4931</v>
      </c>
      <c r="AF1755" s="663" t="s">
        <v>4946</v>
      </c>
    </row>
    <row r="1756" spans="1:32" s="608" customFormat="1" x14ac:dyDescent="0.25">
      <c r="A1756" s="624"/>
      <c r="B1756" s="617">
        <v>39085203500</v>
      </c>
      <c r="C1756" s="617" t="s">
        <v>3424</v>
      </c>
      <c r="D1756" s="617" t="s">
        <v>66</v>
      </c>
      <c r="E1756" s="617" t="s">
        <v>4853</v>
      </c>
      <c r="F1756" s="617" t="s">
        <v>26</v>
      </c>
      <c r="G1756" s="624"/>
      <c r="O1756" s="616"/>
      <c r="P1756" s="616"/>
      <c r="Q1756" s="616"/>
      <c r="AA1756" s="624"/>
      <c r="AB1756" s="663">
        <v>39093022100</v>
      </c>
      <c r="AC1756" s="663" t="s">
        <v>6688</v>
      </c>
      <c r="AD1756" s="663" t="s">
        <v>4941</v>
      </c>
      <c r="AE1756" s="663" t="s">
        <v>4939</v>
      </c>
      <c r="AF1756" s="663" t="s">
        <v>4962</v>
      </c>
    </row>
    <row r="1757" spans="1:32" s="608" customFormat="1" x14ac:dyDescent="0.25">
      <c r="A1757" s="624"/>
      <c r="B1757" s="617">
        <v>39085203700</v>
      </c>
      <c r="C1757" s="617" t="s">
        <v>3425</v>
      </c>
      <c r="D1757" s="617" t="s">
        <v>66</v>
      </c>
      <c r="E1757" s="617" t="s">
        <v>4853</v>
      </c>
      <c r="F1757" s="617" t="s">
        <v>26</v>
      </c>
      <c r="G1757" s="624"/>
      <c r="O1757" s="616"/>
      <c r="P1757" s="616"/>
      <c r="Q1757" s="616"/>
      <c r="AA1757" s="624"/>
      <c r="AB1757" s="663">
        <v>39093022200</v>
      </c>
      <c r="AC1757" s="663" t="s">
        <v>6689</v>
      </c>
      <c r="AD1757" s="663" t="s">
        <v>4948</v>
      </c>
      <c r="AE1757" s="663" t="s">
        <v>4928</v>
      </c>
      <c r="AF1757" s="663" t="s">
        <v>4962</v>
      </c>
    </row>
    <row r="1758" spans="1:32" s="608" customFormat="1" x14ac:dyDescent="0.25">
      <c r="A1758" s="624"/>
      <c r="B1758" s="617">
        <v>39085204000</v>
      </c>
      <c r="C1758" s="617" t="s">
        <v>3426</v>
      </c>
      <c r="D1758" s="617" t="s">
        <v>66</v>
      </c>
      <c r="E1758" s="617" t="s">
        <v>4853</v>
      </c>
      <c r="F1758" s="617" t="s">
        <v>26</v>
      </c>
      <c r="G1758" s="624"/>
      <c r="O1758" s="616"/>
      <c r="P1758" s="616"/>
      <c r="Q1758" s="616"/>
      <c r="AA1758" s="624"/>
      <c r="AB1758" s="663">
        <v>39093022400</v>
      </c>
      <c r="AC1758" s="663" t="s">
        <v>6690</v>
      </c>
      <c r="AD1758" s="663" t="s">
        <v>4950</v>
      </c>
      <c r="AE1758" s="663" t="s">
        <v>4934</v>
      </c>
      <c r="AF1758" s="663" t="s">
        <v>4962</v>
      </c>
    </row>
    <row r="1759" spans="1:32" s="608" customFormat="1" x14ac:dyDescent="0.25">
      <c r="A1759" s="624"/>
      <c r="B1759" s="617">
        <v>39085204200</v>
      </c>
      <c r="C1759" s="617" t="s">
        <v>3427</v>
      </c>
      <c r="D1759" s="617" t="s">
        <v>66</v>
      </c>
      <c r="E1759" s="617" t="s">
        <v>4853</v>
      </c>
      <c r="F1759" s="617" t="s">
        <v>26</v>
      </c>
      <c r="G1759" s="624"/>
      <c r="O1759" s="616"/>
      <c r="P1759" s="616"/>
      <c r="Q1759" s="616"/>
      <c r="AA1759" s="624"/>
      <c r="AB1759" s="663">
        <v>39093022500</v>
      </c>
      <c r="AC1759" s="663" t="s">
        <v>6691</v>
      </c>
      <c r="AD1759" s="663" t="s">
        <v>4938</v>
      </c>
      <c r="AE1759" s="663" t="s">
        <v>4942</v>
      </c>
      <c r="AF1759" s="663" t="s">
        <v>4962</v>
      </c>
    </row>
    <row r="1760" spans="1:32" s="608" customFormat="1" x14ac:dyDescent="0.25">
      <c r="A1760" s="624"/>
      <c r="B1760" s="617">
        <v>39085204303</v>
      </c>
      <c r="C1760" s="617" t="s">
        <v>3428</v>
      </c>
      <c r="D1760" s="617" t="s">
        <v>66</v>
      </c>
      <c r="E1760" s="617" t="s">
        <v>4853</v>
      </c>
      <c r="F1760" s="617" t="s">
        <v>26</v>
      </c>
      <c r="G1760" s="624"/>
      <c r="O1760" s="616"/>
      <c r="P1760" s="616"/>
      <c r="Q1760" s="616"/>
      <c r="AA1760" s="624"/>
      <c r="AB1760" s="663">
        <v>39093022601</v>
      </c>
      <c r="AC1760" s="663" t="s">
        <v>6692</v>
      </c>
      <c r="AD1760" s="663" t="s">
        <v>4927</v>
      </c>
      <c r="AE1760" s="663" t="s">
        <v>4942</v>
      </c>
      <c r="AF1760" s="663" t="s">
        <v>4946</v>
      </c>
    </row>
    <row r="1761" spans="1:32" s="608" customFormat="1" x14ac:dyDescent="0.25">
      <c r="A1761" s="624"/>
      <c r="B1761" s="617">
        <v>39085204304</v>
      </c>
      <c r="C1761" s="617" t="s">
        <v>3429</v>
      </c>
      <c r="D1761" s="617" t="s">
        <v>66</v>
      </c>
      <c r="E1761" s="617" t="s">
        <v>4853</v>
      </c>
      <c r="F1761" s="617" t="s">
        <v>26</v>
      </c>
      <c r="G1761" s="624"/>
      <c r="O1761" s="616"/>
      <c r="P1761" s="616"/>
      <c r="Q1761" s="616"/>
      <c r="AA1761" s="624"/>
      <c r="AB1761" s="663">
        <v>39093022800</v>
      </c>
      <c r="AC1761" s="663" t="s">
        <v>6693</v>
      </c>
      <c r="AD1761" s="663" t="s">
        <v>4950</v>
      </c>
      <c r="AE1761" s="663" t="s">
        <v>4928</v>
      </c>
      <c r="AF1761" s="663" t="s">
        <v>4962</v>
      </c>
    </row>
    <row r="1762" spans="1:32" s="608" customFormat="1" x14ac:dyDescent="0.25">
      <c r="A1762" s="624"/>
      <c r="B1762" s="617">
        <v>39085204400</v>
      </c>
      <c r="C1762" s="617" t="s">
        <v>3430</v>
      </c>
      <c r="D1762" s="617" t="s">
        <v>66</v>
      </c>
      <c r="E1762" s="617" t="s">
        <v>4853</v>
      </c>
      <c r="F1762" s="617" t="s">
        <v>26</v>
      </c>
      <c r="G1762" s="624"/>
      <c r="O1762" s="616"/>
      <c r="P1762" s="616"/>
      <c r="Q1762" s="616"/>
      <c r="AA1762" s="624"/>
      <c r="AB1762" s="663">
        <v>39093023000</v>
      </c>
      <c r="AC1762" s="663" t="s">
        <v>6694</v>
      </c>
      <c r="AD1762" s="663" t="s">
        <v>4927</v>
      </c>
      <c r="AE1762" s="663" t="s">
        <v>4942</v>
      </c>
      <c r="AF1762" s="663" t="s">
        <v>4946</v>
      </c>
    </row>
    <row r="1763" spans="1:32" s="608" customFormat="1" x14ac:dyDescent="0.25">
      <c r="A1763" s="624"/>
      <c r="B1763" s="617">
        <v>39085204500</v>
      </c>
      <c r="C1763" s="617" t="s">
        <v>3431</v>
      </c>
      <c r="D1763" s="617" t="s">
        <v>66</v>
      </c>
      <c r="E1763" s="617" t="s">
        <v>4853</v>
      </c>
      <c r="F1763" s="617" t="s">
        <v>24</v>
      </c>
      <c r="G1763" s="624"/>
      <c r="O1763" s="616"/>
      <c r="P1763" s="616"/>
      <c r="Q1763" s="616"/>
      <c r="AA1763" s="624"/>
      <c r="AB1763" s="663">
        <v>39093023100</v>
      </c>
      <c r="AC1763" s="663" t="s">
        <v>6695</v>
      </c>
      <c r="AD1763" s="663" t="s">
        <v>4950</v>
      </c>
      <c r="AE1763" s="663" t="s">
        <v>4934</v>
      </c>
      <c r="AF1763" s="663" t="s">
        <v>4962</v>
      </c>
    </row>
    <row r="1764" spans="1:32" s="608" customFormat="1" x14ac:dyDescent="0.25">
      <c r="A1764" s="624"/>
      <c r="B1764" s="617">
        <v>39085204700</v>
      </c>
      <c r="C1764" s="617" t="s">
        <v>3432</v>
      </c>
      <c r="D1764" s="617" t="s">
        <v>66</v>
      </c>
      <c r="E1764" s="617" t="s">
        <v>4853</v>
      </c>
      <c r="F1764" s="617" t="s">
        <v>26</v>
      </c>
      <c r="G1764" s="624"/>
      <c r="O1764" s="616"/>
      <c r="P1764" s="616"/>
      <c r="Q1764" s="616"/>
      <c r="AA1764" s="624"/>
      <c r="AB1764" s="663">
        <v>39093023200</v>
      </c>
      <c r="AC1764" s="663" t="s">
        <v>6696</v>
      </c>
      <c r="AD1764" s="663" t="s">
        <v>4927</v>
      </c>
      <c r="AE1764" s="663" t="s">
        <v>4928</v>
      </c>
      <c r="AF1764" s="663" t="s">
        <v>4962</v>
      </c>
    </row>
    <row r="1765" spans="1:32" s="608" customFormat="1" x14ac:dyDescent="0.25">
      <c r="A1765" s="624"/>
      <c r="B1765" s="617">
        <v>39085204800</v>
      </c>
      <c r="C1765" s="617" t="s">
        <v>3433</v>
      </c>
      <c r="D1765" s="617" t="s">
        <v>66</v>
      </c>
      <c r="E1765" s="617" t="s">
        <v>4853</v>
      </c>
      <c r="F1765" s="617" t="s">
        <v>26</v>
      </c>
      <c r="G1765" s="624"/>
      <c r="O1765" s="616"/>
      <c r="P1765" s="616"/>
      <c r="Q1765" s="616"/>
      <c r="AA1765" s="624"/>
      <c r="AB1765" s="663">
        <v>39093023300</v>
      </c>
      <c r="AC1765" s="663" t="s">
        <v>6697</v>
      </c>
      <c r="AD1765" s="663" t="s">
        <v>4950</v>
      </c>
      <c r="AE1765" s="663" t="s">
        <v>4934</v>
      </c>
      <c r="AF1765" s="663" t="s">
        <v>4962</v>
      </c>
    </row>
    <row r="1766" spans="1:32" s="608" customFormat="1" x14ac:dyDescent="0.25">
      <c r="A1766" s="624"/>
      <c r="B1766" s="617">
        <v>39085204900</v>
      </c>
      <c r="C1766" s="617" t="s">
        <v>3434</v>
      </c>
      <c r="D1766" s="617" t="s">
        <v>66</v>
      </c>
      <c r="E1766" s="617" t="s">
        <v>4853</v>
      </c>
      <c r="F1766" s="617" t="s">
        <v>26</v>
      </c>
      <c r="G1766" s="624"/>
      <c r="O1766" s="616"/>
      <c r="P1766" s="616"/>
      <c r="Q1766" s="616"/>
      <c r="AA1766" s="624"/>
      <c r="AB1766" s="663">
        <v>39093023400</v>
      </c>
      <c r="AC1766" s="663" t="s">
        <v>6698</v>
      </c>
      <c r="AD1766" s="663" t="s">
        <v>4927</v>
      </c>
      <c r="AE1766" s="663" t="s">
        <v>4928</v>
      </c>
      <c r="AF1766" s="663" t="s">
        <v>4946</v>
      </c>
    </row>
    <row r="1767" spans="1:32" s="608" customFormat="1" x14ac:dyDescent="0.25">
      <c r="A1767" s="624"/>
      <c r="B1767" s="617">
        <v>39085205001</v>
      </c>
      <c r="C1767" s="617" t="s">
        <v>3435</v>
      </c>
      <c r="D1767" s="617" t="s">
        <v>66</v>
      </c>
      <c r="E1767" s="617" t="s">
        <v>4853</v>
      </c>
      <c r="F1767" s="617" t="s">
        <v>26</v>
      </c>
      <c r="G1767" s="624"/>
      <c r="O1767" s="616"/>
      <c r="P1767" s="616"/>
      <c r="Q1767" s="616"/>
      <c r="AA1767" s="624"/>
      <c r="AB1767" s="663">
        <v>39093023500</v>
      </c>
      <c r="AC1767" s="663" t="s">
        <v>6699</v>
      </c>
      <c r="AD1767" s="663" t="s">
        <v>4941</v>
      </c>
      <c r="AE1767" s="663" t="s">
        <v>4928</v>
      </c>
      <c r="AF1767" s="663" t="s">
        <v>4962</v>
      </c>
    </row>
    <row r="1768" spans="1:32" s="608" customFormat="1" x14ac:dyDescent="0.25">
      <c r="A1768" s="624"/>
      <c r="B1768" s="617">
        <v>39085205002</v>
      </c>
      <c r="C1768" s="617" t="s">
        <v>3436</v>
      </c>
      <c r="D1768" s="617" t="s">
        <v>66</v>
      </c>
      <c r="E1768" s="617" t="s">
        <v>4853</v>
      </c>
      <c r="F1768" s="617" t="s">
        <v>26</v>
      </c>
      <c r="G1768" s="624"/>
      <c r="O1768" s="616"/>
      <c r="P1768" s="616"/>
      <c r="Q1768" s="616"/>
      <c r="AA1768" s="624"/>
      <c r="AB1768" s="663">
        <v>39093023600</v>
      </c>
      <c r="AC1768" s="663" t="s">
        <v>6700</v>
      </c>
      <c r="AD1768" s="663" t="s">
        <v>4948</v>
      </c>
      <c r="AE1768" s="663" t="s">
        <v>4928</v>
      </c>
      <c r="AF1768" s="663" t="s">
        <v>4962</v>
      </c>
    </row>
    <row r="1769" spans="1:32" s="608" customFormat="1" x14ac:dyDescent="0.25">
      <c r="A1769" s="624"/>
      <c r="B1769" s="617">
        <v>39085205100</v>
      </c>
      <c r="C1769" s="617" t="s">
        <v>3437</v>
      </c>
      <c r="D1769" s="617" t="s">
        <v>66</v>
      </c>
      <c r="E1769" s="617" t="s">
        <v>4853</v>
      </c>
      <c r="F1769" s="617" t="s">
        <v>26</v>
      </c>
      <c r="G1769" s="624"/>
      <c r="O1769" s="616"/>
      <c r="P1769" s="616"/>
      <c r="Q1769" s="616"/>
      <c r="AA1769" s="624"/>
      <c r="AB1769" s="663">
        <v>39093023700</v>
      </c>
      <c r="AC1769" s="663" t="s">
        <v>6701</v>
      </c>
      <c r="AD1769" s="663" t="s">
        <v>4948</v>
      </c>
      <c r="AE1769" s="663" t="s">
        <v>4934</v>
      </c>
      <c r="AF1769" s="663" t="s">
        <v>4962</v>
      </c>
    </row>
    <row r="1770" spans="1:32" s="608" customFormat="1" x14ac:dyDescent="0.25">
      <c r="A1770" s="624"/>
      <c r="B1770" s="617">
        <v>39085205200</v>
      </c>
      <c r="C1770" s="617" t="s">
        <v>3438</v>
      </c>
      <c r="D1770" s="617" t="s">
        <v>66</v>
      </c>
      <c r="E1770" s="617" t="s">
        <v>4853</v>
      </c>
      <c r="F1770" s="617" t="s">
        <v>26</v>
      </c>
      <c r="G1770" s="624"/>
      <c r="O1770" s="616"/>
      <c r="P1770" s="616"/>
      <c r="Q1770" s="616"/>
      <c r="AA1770" s="624"/>
      <c r="AB1770" s="663">
        <v>39093023800</v>
      </c>
      <c r="AC1770" s="663" t="s">
        <v>6702</v>
      </c>
      <c r="AD1770" s="663" t="s">
        <v>4927</v>
      </c>
      <c r="AE1770" s="663" t="s">
        <v>5006</v>
      </c>
      <c r="AF1770" s="663" t="s">
        <v>4946</v>
      </c>
    </row>
    <row r="1771" spans="1:32" s="608" customFormat="1" x14ac:dyDescent="0.25">
      <c r="A1771" s="624"/>
      <c r="B1771" s="617">
        <v>39085205300</v>
      </c>
      <c r="C1771" s="617" t="s">
        <v>3439</v>
      </c>
      <c r="D1771" s="617" t="s">
        <v>66</v>
      </c>
      <c r="E1771" s="617" t="s">
        <v>4853</v>
      </c>
      <c r="F1771" s="617" t="s">
        <v>26</v>
      </c>
      <c r="G1771" s="624"/>
      <c r="O1771" s="616"/>
      <c r="P1771" s="616"/>
      <c r="Q1771" s="616"/>
      <c r="AA1771" s="624"/>
      <c r="AB1771" s="663">
        <v>39093023900</v>
      </c>
      <c r="AC1771" s="663" t="s">
        <v>6703</v>
      </c>
      <c r="AD1771" s="663" t="s">
        <v>4927</v>
      </c>
      <c r="AE1771" s="663" t="s">
        <v>4931</v>
      </c>
      <c r="AF1771" s="663" t="s">
        <v>4946</v>
      </c>
    </row>
    <row r="1772" spans="1:32" s="608" customFormat="1" x14ac:dyDescent="0.25">
      <c r="A1772" s="624"/>
      <c r="B1772" s="617">
        <v>39085205400</v>
      </c>
      <c r="C1772" s="617" t="s">
        <v>3440</v>
      </c>
      <c r="D1772" s="617" t="s">
        <v>66</v>
      </c>
      <c r="E1772" s="617" t="s">
        <v>4853</v>
      </c>
      <c r="F1772" s="617" t="s">
        <v>26</v>
      </c>
      <c r="G1772" s="624"/>
      <c r="O1772" s="616"/>
      <c r="P1772" s="616"/>
      <c r="Q1772" s="616"/>
      <c r="AA1772" s="624"/>
      <c r="AB1772" s="663">
        <v>39093024000</v>
      </c>
      <c r="AC1772" s="663" t="s">
        <v>6704</v>
      </c>
      <c r="AD1772" s="663" t="s">
        <v>4927</v>
      </c>
      <c r="AE1772" s="663" t="s">
        <v>4928</v>
      </c>
      <c r="AF1772" s="663" t="s">
        <v>4946</v>
      </c>
    </row>
    <row r="1773" spans="1:32" s="608" customFormat="1" x14ac:dyDescent="0.25">
      <c r="A1773" s="624"/>
      <c r="B1773" s="617">
        <v>39085205701</v>
      </c>
      <c r="C1773" s="617" t="s">
        <v>3441</v>
      </c>
      <c r="D1773" s="617" t="s">
        <v>66</v>
      </c>
      <c r="E1773" s="617" t="s">
        <v>4853</v>
      </c>
      <c r="F1773" s="617" t="s">
        <v>26</v>
      </c>
      <c r="G1773" s="624"/>
      <c r="O1773" s="616"/>
      <c r="P1773" s="616"/>
      <c r="Q1773" s="616"/>
      <c r="AA1773" s="624"/>
      <c r="AB1773" s="663">
        <v>39093024100</v>
      </c>
      <c r="AC1773" s="663" t="s">
        <v>6705</v>
      </c>
      <c r="AD1773" s="663" t="s">
        <v>4927</v>
      </c>
      <c r="AE1773" s="663" t="s">
        <v>4939</v>
      </c>
      <c r="AF1773" s="663" t="s">
        <v>4946</v>
      </c>
    </row>
    <row r="1774" spans="1:32" s="608" customFormat="1" x14ac:dyDescent="0.25">
      <c r="A1774" s="624"/>
      <c r="B1774" s="617">
        <v>39085205702</v>
      </c>
      <c r="C1774" s="617" t="s">
        <v>3442</v>
      </c>
      <c r="D1774" s="617" t="s">
        <v>66</v>
      </c>
      <c r="E1774" s="617" t="s">
        <v>4853</v>
      </c>
      <c r="F1774" s="617" t="s">
        <v>26</v>
      </c>
      <c r="G1774" s="624"/>
      <c r="O1774" s="616"/>
      <c r="P1774" s="616"/>
      <c r="Q1774" s="616"/>
      <c r="AA1774" s="624"/>
      <c r="AB1774" s="663">
        <v>39093024200</v>
      </c>
      <c r="AC1774" s="663" t="s">
        <v>6706</v>
      </c>
      <c r="AD1774" s="663" t="s">
        <v>4950</v>
      </c>
      <c r="AE1774" s="663" t="s">
        <v>4928</v>
      </c>
      <c r="AF1774" s="663" t="s">
        <v>4946</v>
      </c>
    </row>
    <row r="1775" spans="1:32" s="608" customFormat="1" x14ac:dyDescent="0.25">
      <c r="A1775" s="624"/>
      <c r="B1775" s="617">
        <v>39085205800</v>
      </c>
      <c r="C1775" s="617" t="s">
        <v>3443</v>
      </c>
      <c r="D1775" s="617" t="s">
        <v>66</v>
      </c>
      <c r="E1775" s="617" t="s">
        <v>4853</v>
      </c>
      <c r="F1775" s="617" t="s">
        <v>26</v>
      </c>
      <c r="G1775" s="624"/>
      <c r="O1775" s="616"/>
      <c r="P1775" s="616"/>
      <c r="Q1775" s="616"/>
      <c r="AA1775" s="624"/>
      <c r="AB1775" s="663">
        <v>39093028100</v>
      </c>
      <c r="AC1775" s="663" t="s">
        <v>6707</v>
      </c>
      <c r="AD1775" s="663" t="s">
        <v>4941</v>
      </c>
      <c r="AE1775" s="663" t="s">
        <v>4942</v>
      </c>
      <c r="AF1775" s="663" t="s">
        <v>4946</v>
      </c>
    </row>
    <row r="1776" spans="1:32" s="608" customFormat="1" x14ac:dyDescent="0.25">
      <c r="A1776" s="624"/>
      <c r="B1776" s="617">
        <v>39085206100</v>
      </c>
      <c r="C1776" s="617" t="s">
        <v>3444</v>
      </c>
      <c r="D1776" s="617" t="s">
        <v>66</v>
      </c>
      <c r="E1776" s="617" t="s">
        <v>4853</v>
      </c>
      <c r="F1776" s="617" t="s">
        <v>26</v>
      </c>
      <c r="G1776" s="624"/>
      <c r="O1776" s="616"/>
      <c r="P1776" s="616"/>
      <c r="Q1776" s="616"/>
      <c r="AA1776" s="624"/>
      <c r="AB1776" s="663">
        <v>39093030100</v>
      </c>
      <c r="AC1776" s="663" t="s">
        <v>6708</v>
      </c>
      <c r="AD1776" s="663" t="s">
        <v>4948</v>
      </c>
      <c r="AE1776" s="663" t="s">
        <v>4942</v>
      </c>
      <c r="AF1776" s="663" t="s">
        <v>4946</v>
      </c>
    </row>
    <row r="1777" spans="1:32" s="608" customFormat="1" x14ac:dyDescent="0.25">
      <c r="A1777" s="624"/>
      <c r="B1777" s="617">
        <v>39085206200</v>
      </c>
      <c r="C1777" s="617" t="s">
        <v>3445</v>
      </c>
      <c r="D1777" s="617" t="s">
        <v>66</v>
      </c>
      <c r="E1777" s="617" t="s">
        <v>4853</v>
      </c>
      <c r="F1777" s="617" t="s">
        <v>26</v>
      </c>
      <c r="G1777" s="624"/>
      <c r="O1777" s="616"/>
      <c r="P1777" s="616"/>
      <c r="Q1777" s="616"/>
      <c r="AA1777" s="624"/>
      <c r="AB1777" s="663">
        <v>39093050100</v>
      </c>
      <c r="AC1777" s="663" t="s">
        <v>6709</v>
      </c>
      <c r="AD1777" s="663" t="s">
        <v>4941</v>
      </c>
      <c r="AE1777" s="663" t="s">
        <v>4928</v>
      </c>
      <c r="AF1777" s="663" t="s">
        <v>4946</v>
      </c>
    </row>
    <row r="1778" spans="1:32" s="608" customFormat="1" x14ac:dyDescent="0.25">
      <c r="A1778" s="624"/>
      <c r="B1778" s="617">
        <v>39085206300</v>
      </c>
      <c r="C1778" s="617" t="s">
        <v>3446</v>
      </c>
      <c r="D1778" s="617" t="s">
        <v>66</v>
      </c>
      <c r="E1778" s="617" t="s">
        <v>4853</v>
      </c>
      <c r="F1778" s="617" t="s">
        <v>26</v>
      </c>
      <c r="G1778" s="624"/>
      <c r="O1778" s="616"/>
      <c r="P1778" s="616"/>
      <c r="Q1778" s="616"/>
      <c r="AA1778" s="624"/>
      <c r="AB1778" s="663">
        <v>39093050200</v>
      </c>
      <c r="AC1778" s="663" t="s">
        <v>6710</v>
      </c>
      <c r="AD1778" s="663" t="s">
        <v>4941</v>
      </c>
      <c r="AE1778" s="663" t="s">
        <v>4942</v>
      </c>
      <c r="AF1778" s="663" t="s">
        <v>4946</v>
      </c>
    </row>
    <row r="1779" spans="1:32" s="608" customFormat="1" x14ac:dyDescent="0.25">
      <c r="A1779" s="624"/>
      <c r="B1779" s="617">
        <v>39085206400</v>
      </c>
      <c r="C1779" s="617" t="s">
        <v>3447</v>
      </c>
      <c r="D1779" s="617" t="s">
        <v>66</v>
      </c>
      <c r="E1779" s="617" t="s">
        <v>4853</v>
      </c>
      <c r="F1779" s="617" t="s">
        <v>26</v>
      </c>
      <c r="G1779" s="624"/>
      <c r="O1779" s="616"/>
      <c r="P1779" s="616"/>
      <c r="Q1779" s="616"/>
      <c r="AA1779" s="624"/>
      <c r="AB1779" s="663">
        <v>39093050300</v>
      </c>
      <c r="AC1779" s="663" t="s">
        <v>6711</v>
      </c>
      <c r="AD1779" s="663" t="s">
        <v>4948</v>
      </c>
      <c r="AE1779" s="663" t="s">
        <v>4934</v>
      </c>
      <c r="AF1779" s="663" t="s">
        <v>4946</v>
      </c>
    </row>
    <row r="1780" spans="1:32" s="608" customFormat="1" x14ac:dyDescent="0.25">
      <c r="A1780" s="624"/>
      <c r="B1780" s="617">
        <v>39085206500</v>
      </c>
      <c r="C1780" s="617" t="s">
        <v>3448</v>
      </c>
      <c r="D1780" s="617" t="s">
        <v>66</v>
      </c>
      <c r="E1780" s="617" t="s">
        <v>4853</v>
      </c>
      <c r="F1780" s="617" t="s">
        <v>26</v>
      </c>
      <c r="G1780" s="624"/>
      <c r="O1780" s="616"/>
      <c r="P1780" s="616"/>
      <c r="Q1780" s="616"/>
      <c r="AA1780" s="624"/>
      <c r="AB1780" s="663">
        <v>39093050400</v>
      </c>
      <c r="AC1780" s="663" t="s">
        <v>6712</v>
      </c>
      <c r="AD1780" s="663" t="s">
        <v>4948</v>
      </c>
      <c r="AE1780" s="663" t="s">
        <v>4928</v>
      </c>
      <c r="AF1780" s="663" t="s">
        <v>4946</v>
      </c>
    </row>
    <row r="1781" spans="1:32" s="608" customFormat="1" x14ac:dyDescent="0.25">
      <c r="A1781" s="624"/>
      <c r="B1781" s="617">
        <v>39085206600</v>
      </c>
      <c r="C1781" s="617" t="s">
        <v>3449</v>
      </c>
      <c r="D1781" s="617" t="s">
        <v>66</v>
      </c>
      <c r="E1781" s="617" t="s">
        <v>4853</v>
      </c>
      <c r="F1781" s="617" t="s">
        <v>26</v>
      </c>
      <c r="G1781" s="624"/>
      <c r="O1781" s="616"/>
      <c r="P1781" s="616"/>
      <c r="Q1781" s="616"/>
      <c r="AA1781" s="624"/>
      <c r="AB1781" s="663">
        <v>39093057100</v>
      </c>
      <c r="AC1781" s="663" t="s">
        <v>6713</v>
      </c>
      <c r="AD1781" s="663" t="s">
        <v>4941</v>
      </c>
      <c r="AE1781" s="663" t="s">
        <v>4928</v>
      </c>
      <c r="AF1781" s="663" t="s">
        <v>4929</v>
      </c>
    </row>
    <row r="1782" spans="1:32" s="608" customFormat="1" x14ac:dyDescent="0.25">
      <c r="A1782" s="624"/>
      <c r="B1782" s="617">
        <v>39085206700</v>
      </c>
      <c r="C1782" s="617" t="s">
        <v>3450</v>
      </c>
      <c r="D1782" s="617" t="s">
        <v>66</v>
      </c>
      <c r="E1782" s="617" t="s">
        <v>4853</v>
      </c>
      <c r="F1782" s="617" t="s">
        <v>26</v>
      </c>
      <c r="G1782" s="624"/>
      <c r="O1782" s="616"/>
      <c r="P1782" s="616"/>
      <c r="Q1782" s="616"/>
      <c r="AA1782" s="624"/>
      <c r="AB1782" s="663">
        <v>39093060100</v>
      </c>
      <c r="AC1782" s="663" t="s">
        <v>6714</v>
      </c>
      <c r="AD1782" s="663" t="s">
        <v>4938</v>
      </c>
      <c r="AE1782" s="663" t="s">
        <v>4928</v>
      </c>
      <c r="AF1782" s="663" t="s">
        <v>4929</v>
      </c>
    </row>
    <row r="1783" spans="1:32" s="608" customFormat="1" x14ac:dyDescent="0.25">
      <c r="A1783" s="624"/>
      <c r="B1783" s="617">
        <v>39085990000</v>
      </c>
      <c r="C1783" s="617" t="s">
        <v>3451</v>
      </c>
      <c r="D1783" s="617" t="s">
        <v>66</v>
      </c>
      <c r="E1783" s="617" t="s">
        <v>4853</v>
      </c>
      <c r="F1783" s="617" t="s">
        <v>26</v>
      </c>
      <c r="G1783" s="624"/>
      <c r="O1783" s="616"/>
      <c r="P1783" s="616"/>
      <c r="Q1783" s="616"/>
      <c r="AA1783" s="624"/>
      <c r="AB1783" s="663">
        <v>39093060200</v>
      </c>
      <c r="AC1783" s="663" t="s">
        <v>6715</v>
      </c>
      <c r="AD1783" s="663" t="s">
        <v>4938</v>
      </c>
      <c r="AE1783" s="663" t="s">
        <v>4931</v>
      </c>
      <c r="AF1783" s="663" t="s">
        <v>4983</v>
      </c>
    </row>
    <row r="1784" spans="1:32" s="608" customFormat="1" x14ac:dyDescent="0.25">
      <c r="A1784" s="624"/>
      <c r="B1784" s="617">
        <v>39087050100</v>
      </c>
      <c r="C1784" s="617" t="s">
        <v>3452</v>
      </c>
      <c r="D1784" s="617" t="s">
        <v>67</v>
      </c>
      <c r="E1784" s="617" t="s">
        <v>4858</v>
      </c>
      <c r="F1784" s="617" t="s">
        <v>26</v>
      </c>
      <c r="G1784" s="624"/>
      <c r="O1784" s="616"/>
      <c r="P1784" s="616"/>
      <c r="Q1784" s="616"/>
      <c r="AA1784" s="624"/>
      <c r="AB1784" s="663">
        <v>39093070101</v>
      </c>
      <c r="AC1784" s="663" t="s">
        <v>6716</v>
      </c>
      <c r="AD1784" s="663" t="s">
        <v>4950</v>
      </c>
      <c r="AE1784" s="663" t="s">
        <v>4928</v>
      </c>
      <c r="AF1784" s="663" t="s">
        <v>4946</v>
      </c>
    </row>
    <row r="1785" spans="1:32" s="608" customFormat="1" x14ac:dyDescent="0.25">
      <c r="A1785" s="624"/>
      <c r="B1785" s="617">
        <v>39087050200</v>
      </c>
      <c r="C1785" s="617" t="s">
        <v>3453</v>
      </c>
      <c r="D1785" s="617" t="s">
        <v>67</v>
      </c>
      <c r="E1785" s="617" t="s">
        <v>4858</v>
      </c>
      <c r="F1785" s="617" t="s">
        <v>26</v>
      </c>
      <c r="G1785" s="624"/>
      <c r="O1785" s="616"/>
      <c r="P1785" s="616"/>
      <c r="Q1785" s="616"/>
      <c r="AA1785" s="624"/>
      <c r="AB1785" s="663">
        <v>39093070102</v>
      </c>
      <c r="AC1785" s="663" t="s">
        <v>6717</v>
      </c>
      <c r="AD1785" s="663" t="s">
        <v>4950</v>
      </c>
      <c r="AE1785" s="663" t="s">
        <v>4928</v>
      </c>
      <c r="AF1785" s="663" t="s">
        <v>4946</v>
      </c>
    </row>
    <row r="1786" spans="1:32" s="608" customFormat="1" x14ac:dyDescent="0.25">
      <c r="A1786" s="624"/>
      <c r="B1786" s="617">
        <v>39087050300</v>
      </c>
      <c r="C1786" s="617" t="s">
        <v>3454</v>
      </c>
      <c r="D1786" s="617" t="s">
        <v>67</v>
      </c>
      <c r="E1786" s="617" t="s">
        <v>4858</v>
      </c>
      <c r="F1786" s="617" t="s">
        <v>24</v>
      </c>
      <c r="G1786" s="624"/>
      <c r="O1786" s="616"/>
      <c r="P1786" s="616"/>
      <c r="Q1786" s="616"/>
      <c r="AA1786" s="624"/>
      <c r="AB1786" s="663">
        <v>39093070200</v>
      </c>
      <c r="AC1786" s="663" t="s">
        <v>6718</v>
      </c>
      <c r="AD1786" s="663" t="s">
        <v>4950</v>
      </c>
      <c r="AE1786" s="663" t="s">
        <v>4939</v>
      </c>
      <c r="AF1786" s="663" t="s">
        <v>4946</v>
      </c>
    </row>
    <row r="1787" spans="1:32" s="608" customFormat="1" x14ac:dyDescent="0.25">
      <c r="A1787" s="624"/>
      <c r="B1787" s="617">
        <v>39087050400</v>
      </c>
      <c r="C1787" s="617" t="s">
        <v>3455</v>
      </c>
      <c r="D1787" s="617" t="s">
        <v>67</v>
      </c>
      <c r="E1787" s="617" t="s">
        <v>4858</v>
      </c>
      <c r="F1787" s="617" t="s">
        <v>26</v>
      </c>
      <c r="G1787" s="624"/>
      <c r="O1787" s="616"/>
      <c r="P1787" s="616"/>
      <c r="Q1787" s="616"/>
      <c r="AA1787" s="624"/>
      <c r="AB1787" s="663">
        <v>39093070300</v>
      </c>
      <c r="AC1787" s="663" t="s">
        <v>6719</v>
      </c>
      <c r="AD1787" s="663" t="s">
        <v>4950</v>
      </c>
      <c r="AE1787" s="663" t="s">
        <v>4928</v>
      </c>
      <c r="AF1787" s="663" t="s">
        <v>4946</v>
      </c>
    </row>
    <row r="1788" spans="1:32" s="608" customFormat="1" x14ac:dyDescent="0.25">
      <c r="A1788" s="624"/>
      <c r="B1788" s="617">
        <v>39087050501</v>
      </c>
      <c r="C1788" s="617" t="s">
        <v>3456</v>
      </c>
      <c r="D1788" s="617" t="s">
        <v>67</v>
      </c>
      <c r="E1788" s="617" t="s">
        <v>4858</v>
      </c>
      <c r="F1788" s="617" t="s">
        <v>26</v>
      </c>
      <c r="G1788" s="624"/>
      <c r="O1788" s="616"/>
      <c r="P1788" s="616"/>
      <c r="Q1788" s="616"/>
      <c r="AA1788" s="624"/>
      <c r="AB1788" s="663">
        <v>39093070400</v>
      </c>
      <c r="AC1788" s="663" t="s">
        <v>6720</v>
      </c>
      <c r="AD1788" s="663" t="s">
        <v>4927</v>
      </c>
      <c r="AE1788" s="663" t="s">
        <v>4942</v>
      </c>
      <c r="AF1788" s="663" t="s">
        <v>4946</v>
      </c>
    </row>
    <row r="1789" spans="1:32" s="608" customFormat="1" x14ac:dyDescent="0.25">
      <c r="A1789" s="624"/>
      <c r="B1789" s="617">
        <v>39087050502</v>
      </c>
      <c r="C1789" s="617" t="s">
        <v>3457</v>
      </c>
      <c r="D1789" s="617" t="s">
        <v>67</v>
      </c>
      <c r="E1789" s="617" t="s">
        <v>4858</v>
      </c>
      <c r="F1789" s="617" t="s">
        <v>26</v>
      </c>
      <c r="G1789" s="624"/>
      <c r="O1789" s="616"/>
      <c r="P1789" s="616"/>
      <c r="Q1789" s="616"/>
      <c r="AA1789" s="624"/>
      <c r="AB1789" s="663">
        <v>39093070500</v>
      </c>
      <c r="AC1789" s="663" t="s">
        <v>6721</v>
      </c>
      <c r="AD1789" s="663" t="s">
        <v>4941</v>
      </c>
      <c r="AE1789" s="663" t="s">
        <v>4928</v>
      </c>
      <c r="AF1789" s="663" t="s">
        <v>4962</v>
      </c>
    </row>
    <row r="1790" spans="1:32" s="608" customFormat="1" x14ac:dyDescent="0.25">
      <c r="A1790" s="624"/>
      <c r="B1790" s="617">
        <v>39087050600</v>
      </c>
      <c r="C1790" s="617" t="s">
        <v>3458</v>
      </c>
      <c r="D1790" s="617" t="s">
        <v>67</v>
      </c>
      <c r="E1790" s="617" t="s">
        <v>4858</v>
      </c>
      <c r="F1790" s="617" t="s">
        <v>26</v>
      </c>
      <c r="G1790" s="624"/>
      <c r="O1790" s="616"/>
      <c r="P1790" s="616"/>
      <c r="Q1790" s="616"/>
      <c r="AA1790" s="624"/>
      <c r="AB1790" s="663">
        <v>39093070600</v>
      </c>
      <c r="AC1790" s="663" t="s">
        <v>6722</v>
      </c>
      <c r="AD1790" s="663" t="s">
        <v>4938</v>
      </c>
      <c r="AE1790" s="663" t="s">
        <v>4931</v>
      </c>
      <c r="AF1790" s="663" t="s">
        <v>4962</v>
      </c>
    </row>
    <row r="1791" spans="1:32" s="608" customFormat="1" x14ac:dyDescent="0.25">
      <c r="A1791" s="624"/>
      <c r="B1791" s="617">
        <v>39087050700</v>
      </c>
      <c r="C1791" s="617" t="s">
        <v>3459</v>
      </c>
      <c r="D1791" s="617" t="s">
        <v>67</v>
      </c>
      <c r="E1791" s="617" t="s">
        <v>4858</v>
      </c>
      <c r="F1791" s="617" t="s">
        <v>26</v>
      </c>
      <c r="G1791" s="624"/>
      <c r="O1791" s="616"/>
      <c r="P1791" s="616"/>
      <c r="Q1791" s="616"/>
      <c r="AA1791" s="624"/>
      <c r="AB1791" s="663">
        <v>39093070700</v>
      </c>
      <c r="AC1791" s="663" t="s">
        <v>6723</v>
      </c>
      <c r="AD1791" s="663" t="s">
        <v>4941</v>
      </c>
      <c r="AE1791" s="663" t="s">
        <v>4928</v>
      </c>
      <c r="AF1791" s="663" t="s">
        <v>4962</v>
      </c>
    </row>
    <row r="1792" spans="1:32" s="608" customFormat="1" x14ac:dyDescent="0.25">
      <c r="A1792" s="624"/>
      <c r="B1792" s="617">
        <v>39087050800</v>
      </c>
      <c r="C1792" s="617" t="s">
        <v>3460</v>
      </c>
      <c r="D1792" s="617" t="s">
        <v>67</v>
      </c>
      <c r="E1792" s="617" t="s">
        <v>4858</v>
      </c>
      <c r="F1792" s="617" t="s">
        <v>26</v>
      </c>
      <c r="G1792" s="624"/>
      <c r="O1792" s="616"/>
      <c r="P1792" s="616"/>
      <c r="Q1792" s="616"/>
      <c r="AA1792" s="624"/>
      <c r="AB1792" s="663">
        <v>39093070800</v>
      </c>
      <c r="AC1792" s="663" t="s">
        <v>6724</v>
      </c>
      <c r="AD1792" s="663" t="s">
        <v>4950</v>
      </c>
      <c r="AE1792" s="663" t="s">
        <v>4928</v>
      </c>
      <c r="AF1792" s="663" t="s">
        <v>4962</v>
      </c>
    </row>
    <row r="1793" spans="1:32" s="608" customFormat="1" x14ac:dyDescent="0.25">
      <c r="A1793" s="624"/>
      <c r="B1793" s="617">
        <v>39087050900</v>
      </c>
      <c r="C1793" s="617" t="s">
        <v>3461</v>
      </c>
      <c r="D1793" s="617" t="s">
        <v>67</v>
      </c>
      <c r="E1793" s="617" t="s">
        <v>4858</v>
      </c>
      <c r="F1793" s="617" t="s">
        <v>26</v>
      </c>
      <c r="G1793" s="624"/>
      <c r="O1793" s="616"/>
      <c r="P1793" s="616"/>
      <c r="Q1793" s="616"/>
      <c r="AA1793" s="624"/>
      <c r="AB1793" s="663">
        <v>39093070901</v>
      </c>
      <c r="AC1793" s="663" t="s">
        <v>6725</v>
      </c>
      <c r="AD1793" s="663" t="s">
        <v>4927</v>
      </c>
      <c r="AE1793" s="663" t="s">
        <v>4928</v>
      </c>
      <c r="AF1793" s="663" t="s">
        <v>4946</v>
      </c>
    </row>
    <row r="1794" spans="1:32" s="608" customFormat="1" x14ac:dyDescent="0.25">
      <c r="A1794" s="624"/>
      <c r="B1794" s="617">
        <v>39087051001</v>
      </c>
      <c r="C1794" s="617" t="s">
        <v>3462</v>
      </c>
      <c r="D1794" s="617" t="s">
        <v>67</v>
      </c>
      <c r="E1794" s="617" t="s">
        <v>4858</v>
      </c>
      <c r="F1794" s="617" t="s">
        <v>26</v>
      </c>
      <c r="G1794" s="624"/>
      <c r="O1794" s="616"/>
      <c r="P1794" s="616"/>
      <c r="Q1794" s="616"/>
      <c r="AA1794" s="624"/>
      <c r="AB1794" s="663">
        <v>39093070902</v>
      </c>
      <c r="AC1794" s="663" t="s">
        <v>6726</v>
      </c>
      <c r="AD1794" s="663" t="s">
        <v>4927</v>
      </c>
      <c r="AE1794" s="663" t="s">
        <v>4928</v>
      </c>
      <c r="AF1794" s="663" t="s">
        <v>4946</v>
      </c>
    </row>
    <row r="1795" spans="1:32" s="608" customFormat="1" x14ac:dyDescent="0.25">
      <c r="A1795" s="624"/>
      <c r="B1795" s="617">
        <v>39087051002</v>
      </c>
      <c r="C1795" s="617" t="s">
        <v>3463</v>
      </c>
      <c r="D1795" s="617" t="s">
        <v>67</v>
      </c>
      <c r="E1795" s="617" t="s">
        <v>4858</v>
      </c>
      <c r="F1795" s="617" t="s">
        <v>24</v>
      </c>
      <c r="G1795" s="624"/>
      <c r="O1795" s="616"/>
      <c r="P1795" s="616"/>
      <c r="Q1795" s="616"/>
      <c r="AA1795" s="624"/>
      <c r="AB1795" s="663">
        <v>39093071000</v>
      </c>
      <c r="AC1795" s="663" t="s">
        <v>6727</v>
      </c>
      <c r="AD1795" s="663" t="s">
        <v>4941</v>
      </c>
      <c r="AE1795" s="663" t="s">
        <v>4931</v>
      </c>
      <c r="AF1795" s="663" t="s">
        <v>4962</v>
      </c>
    </row>
    <row r="1796" spans="1:32" s="608" customFormat="1" x14ac:dyDescent="0.25">
      <c r="A1796" s="624"/>
      <c r="B1796" s="617">
        <v>39087051101</v>
      </c>
      <c r="C1796" s="617" t="s">
        <v>3464</v>
      </c>
      <c r="D1796" s="617" t="s">
        <v>67</v>
      </c>
      <c r="E1796" s="617" t="s">
        <v>4858</v>
      </c>
      <c r="F1796" s="617" t="s">
        <v>26</v>
      </c>
      <c r="G1796" s="624"/>
      <c r="O1796" s="616"/>
      <c r="P1796" s="616"/>
      <c r="Q1796" s="616"/>
      <c r="AA1796" s="624"/>
      <c r="AB1796" s="663">
        <v>39093071100</v>
      </c>
      <c r="AC1796" s="663" t="s">
        <v>6728</v>
      </c>
      <c r="AD1796" s="663" t="s">
        <v>4938</v>
      </c>
      <c r="AE1796" s="663" t="s">
        <v>4942</v>
      </c>
      <c r="AF1796" s="663" t="s">
        <v>4962</v>
      </c>
    </row>
    <row r="1797" spans="1:32" s="608" customFormat="1" x14ac:dyDescent="0.25">
      <c r="A1797" s="624"/>
      <c r="B1797" s="617">
        <v>39087051102</v>
      </c>
      <c r="C1797" s="617" t="s">
        <v>3465</v>
      </c>
      <c r="D1797" s="617" t="s">
        <v>67</v>
      </c>
      <c r="E1797" s="617" t="s">
        <v>4858</v>
      </c>
      <c r="F1797" s="617" t="s">
        <v>26</v>
      </c>
      <c r="G1797" s="624"/>
      <c r="O1797" s="616"/>
      <c r="P1797" s="616"/>
      <c r="Q1797" s="616"/>
      <c r="AA1797" s="624"/>
      <c r="AB1797" s="663">
        <v>39093071201</v>
      </c>
      <c r="AC1797" s="663" t="s">
        <v>6729</v>
      </c>
      <c r="AD1797" s="663" t="s">
        <v>4950</v>
      </c>
      <c r="AE1797" s="663" t="s">
        <v>4928</v>
      </c>
      <c r="AF1797" s="663" t="s">
        <v>4946</v>
      </c>
    </row>
    <row r="1798" spans="1:32" s="608" customFormat="1" x14ac:dyDescent="0.25">
      <c r="A1798" s="624"/>
      <c r="B1798" s="617">
        <v>39087051200</v>
      </c>
      <c r="C1798" s="617" t="s">
        <v>3466</v>
      </c>
      <c r="D1798" s="617" t="s">
        <v>67</v>
      </c>
      <c r="E1798" s="617" t="s">
        <v>4858</v>
      </c>
      <c r="F1798" s="617" t="s">
        <v>26</v>
      </c>
      <c r="G1798" s="624"/>
      <c r="O1798" s="616"/>
      <c r="P1798" s="616"/>
      <c r="Q1798" s="616"/>
      <c r="AA1798" s="624"/>
      <c r="AB1798" s="663">
        <v>39093071202</v>
      </c>
      <c r="AC1798" s="663" t="s">
        <v>6730</v>
      </c>
      <c r="AD1798" s="663" t="s">
        <v>4941</v>
      </c>
      <c r="AE1798" s="663" t="s">
        <v>4939</v>
      </c>
      <c r="AF1798" s="663" t="s">
        <v>4946</v>
      </c>
    </row>
    <row r="1799" spans="1:32" s="608" customFormat="1" x14ac:dyDescent="0.25">
      <c r="A1799" s="624"/>
      <c r="B1799" s="617">
        <v>39087051300</v>
      </c>
      <c r="C1799" s="617" t="s">
        <v>3467</v>
      </c>
      <c r="D1799" s="617" t="s">
        <v>67</v>
      </c>
      <c r="E1799" s="617" t="s">
        <v>4858</v>
      </c>
      <c r="F1799" s="617" t="s">
        <v>26</v>
      </c>
      <c r="G1799" s="624"/>
      <c r="O1799" s="616"/>
      <c r="P1799" s="616"/>
      <c r="Q1799" s="616"/>
      <c r="AA1799" s="624"/>
      <c r="AB1799" s="663">
        <v>39093071300</v>
      </c>
      <c r="AC1799" s="663" t="s">
        <v>6731</v>
      </c>
      <c r="AD1799" s="663" t="s">
        <v>4950</v>
      </c>
      <c r="AE1799" s="663" t="s">
        <v>4928</v>
      </c>
      <c r="AF1799" s="663" t="s">
        <v>4946</v>
      </c>
    </row>
    <row r="1800" spans="1:32" s="608" customFormat="1" x14ac:dyDescent="0.25">
      <c r="A1800" s="624"/>
      <c r="B1800" s="617">
        <v>39087051401</v>
      </c>
      <c r="C1800" s="617" t="s">
        <v>3468</v>
      </c>
      <c r="D1800" s="617" t="s">
        <v>67</v>
      </c>
      <c r="E1800" s="617" t="s">
        <v>4858</v>
      </c>
      <c r="F1800" s="617" t="s">
        <v>26</v>
      </c>
      <c r="G1800" s="624"/>
      <c r="O1800" s="616"/>
      <c r="P1800" s="616"/>
      <c r="Q1800" s="616"/>
      <c r="AA1800" s="624"/>
      <c r="AB1800" s="663">
        <v>39093071400</v>
      </c>
      <c r="AC1800" s="663" t="s">
        <v>6732</v>
      </c>
      <c r="AD1800" s="663" t="s">
        <v>4950</v>
      </c>
      <c r="AE1800" s="663" t="s">
        <v>4928</v>
      </c>
      <c r="AF1800" s="663" t="s">
        <v>4962</v>
      </c>
    </row>
    <row r="1801" spans="1:32" s="608" customFormat="1" x14ac:dyDescent="0.25">
      <c r="A1801" s="624"/>
      <c r="B1801" s="617">
        <v>39087051402</v>
      </c>
      <c r="C1801" s="617" t="s">
        <v>3469</v>
      </c>
      <c r="D1801" s="617" t="s">
        <v>67</v>
      </c>
      <c r="E1801" s="617" t="s">
        <v>4858</v>
      </c>
      <c r="F1801" s="617" t="s">
        <v>26</v>
      </c>
      <c r="G1801" s="624"/>
      <c r="O1801" s="616"/>
      <c r="P1801" s="616"/>
      <c r="Q1801" s="616"/>
      <c r="AA1801" s="624"/>
      <c r="AB1801" s="663">
        <v>39093071500</v>
      </c>
      <c r="AC1801" s="663" t="s">
        <v>6733</v>
      </c>
      <c r="AD1801" s="663" t="s">
        <v>4938</v>
      </c>
      <c r="AE1801" s="663" t="s">
        <v>4939</v>
      </c>
      <c r="AF1801" s="663" t="s">
        <v>4929</v>
      </c>
    </row>
    <row r="1802" spans="1:32" s="608" customFormat="1" x14ac:dyDescent="0.25">
      <c r="A1802" s="624"/>
      <c r="B1802" s="617">
        <v>39089750700</v>
      </c>
      <c r="C1802" s="617" t="s">
        <v>3470</v>
      </c>
      <c r="D1802" s="617" t="s">
        <v>68</v>
      </c>
      <c r="E1802" s="617" t="s">
        <v>4854</v>
      </c>
      <c r="F1802" s="617" t="s">
        <v>24</v>
      </c>
      <c r="G1802" s="624"/>
      <c r="O1802" s="616"/>
      <c r="P1802" s="616"/>
      <c r="Q1802" s="616"/>
      <c r="AA1802" s="624"/>
      <c r="AB1802" s="663">
        <v>39093077100</v>
      </c>
      <c r="AC1802" s="663" t="s">
        <v>6734</v>
      </c>
      <c r="AD1802" s="663" t="s">
        <v>4938</v>
      </c>
      <c r="AE1802" s="663" t="s">
        <v>4942</v>
      </c>
      <c r="AF1802" s="663" t="s">
        <v>4929</v>
      </c>
    </row>
    <row r="1803" spans="1:32" s="608" customFormat="1" x14ac:dyDescent="0.25">
      <c r="A1803" s="624"/>
      <c r="B1803" s="617">
        <v>39089751000</v>
      </c>
      <c r="C1803" s="617" t="s">
        <v>3471</v>
      </c>
      <c r="D1803" s="617" t="s">
        <v>68</v>
      </c>
      <c r="E1803" s="617" t="s">
        <v>4854</v>
      </c>
      <c r="F1803" s="617" t="s">
        <v>26</v>
      </c>
      <c r="G1803" s="624"/>
      <c r="O1803" s="616"/>
      <c r="P1803" s="616"/>
      <c r="Q1803" s="616"/>
      <c r="AA1803" s="624"/>
      <c r="AB1803" s="663">
        <v>39093080101</v>
      </c>
      <c r="AC1803" s="663" t="s">
        <v>6735</v>
      </c>
      <c r="AD1803" s="663" t="s">
        <v>4941</v>
      </c>
      <c r="AE1803" s="663" t="s">
        <v>4934</v>
      </c>
      <c r="AF1803" s="663" t="s">
        <v>4946</v>
      </c>
    </row>
    <row r="1804" spans="1:32" s="608" customFormat="1" x14ac:dyDescent="0.25">
      <c r="A1804" s="624"/>
      <c r="B1804" s="617">
        <v>39089751300</v>
      </c>
      <c r="C1804" s="617" t="s">
        <v>3472</v>
      </c>
      <c r="D1804" s="617" t="s">
        <v>68</v>
      </c>
      <c r="E1804" s="617" t="s">
        <v>4854</v>
      </c>
      <c r="F1804" s="617" t="s">
        <v>26</v>
      </c>
      <c r="G1804" s="624"/>
      <c r="O1804" s="616"/>
      <c r="P1804" s="616"/>
      <c r="Q1804" s="616"/>
      <c r="AA1804" s="624"/>
      <c r="AB1804" s="663">
        <v>39093080103</v>
      </c>
      <c r="AC1804" s="663" t="s">
        <v>6736</v>
      </c>
      <c r="AD1804" s="663" t="s">
        <v>4948</v>
      </c>
      <c r="AE1804" s="663" t="s">
        <v>4942</v>
      </c>
      <c r="AF1804" s="663" t="s">
        <v>4946</v>
      </c>
    </row>
    <row r="1805" spans="1:32" s="608" customFormat="1" x14ac:dyDescent="0.25">
      <c r="A1805" s="624"/>
      <c r="B1805" s="617">
        <v>39089751600</v>
      </c>
      <c r="C1805" s="617" t="s">
        <v>3473</v>
      </c>
      <c r="D1805" s="617" t="s">
        <v>68</v>
      </c>
      <c r="E1805" s="617" t="s">
        <v>4854</v>
      </c>
      <c r="F1805" s="617" t="s">
        <v>26</v>
      </c>
      <c r="G1805" s="624"/>
      <c r="O1805" s="616"/>
      <c r="P1805" s="616"/>
      <c r="Q1805" s="616"/>
      <c r="AA1805" s="624"/>
      <c r="AB1805" s="663">
        <v>39093080104</v>
      </c>
      <c r="AC1805" s="663" t="s">
        <v>6737</v>
      </c>
      <c r="AD1805" s="663" t="s">
        <v>4948</v>
      </c>
      <c r="AE1805" s="663" t="s">
        <v>4934</v>
      </c>
      <c r="AF1805" s="663" t="s">
        <v>4946</v>
      </c>
    </row>
    <row r="1806" spans="1:32" s="608" customFormat="1" x14ac:dyDescent="0.25">
      <c r="A1806" s="624"/>
      <c r="B1806" s="617">
        <v>39089751900</v>
      </c>
      <c r="C1806" s="617" t="s">
        <v>3474</v>
      </c>
      <c r="D1806" s="617" t="s">
        <v>68</v>
      </c>
      <c r="E1806" s="617" t="s">
        <v>4854</v>
      </c>
      <c r="F1806" s="617" t="s">
        <v>26</v>
      </c>
      <c r="G1806" s="624"/>
      <c r="O1806" s="616"/>
      <c r="P1806" s="616"/>
      <c r="Q1806" s="616"/>
      <c r="AA1806" s="624"/>
      <c r="AB1806" s="663">
        <v>39093080500</v>
      </c>
      <c r="AC1806" s="663" t="s">
        <v>6738</v>
      </c>
      <c r="AD1806" s="663" t="s">
        <v>4941</v>
      </c>
      <c r="AE1806" s="663" t="s">
        <v>4931</v>
      </c>
      <c r="AF1806" s="663" t="s">
        <v>4946</v>
      </c>
    </row>
    <row r="1807" spans="1:32" s="608" customFormat="1" x14ac:dyDescent="0.25">
      <c r="A1807" s="624"/>
      <c r="B1807" s="617">
        <v>39089752200</v>
      </c>
      <c r="C1807" s="617" t="s">
        <v>3475</v>
      </c>
      <c r="D1807" s="617" t="s">
        <v>68</v>
      </c>
      <c r="E1807" s="617" t="s">
        <v>4854</v>
      </c>
      <c r="F1807" s="617" t="s">
        <v>26</v>
      </c>
      <c r="G1807" s="624"/>
      <c r="O1807" s="616"/>
      <c r="P1807" s="616"/>
      <c r="Q1807" s="616"/>
      <c r="AA1807" s="624"/>
      <c r="AB1807" s="663">
        <v>39093080600</v>
      </c>
      <c r="AC1807" s="663" t="s">
        <v>6739</v>
      </c>
      <c r="AD1807" s="663" t="s">
        <v>4948</v>
      </c>
      <c r="AE1807" s="663" t="s">
        <v>4942</v>
      </c>
      <c r="AF1807" s="663" t="s">
        <v>4946</v>
      </c>
    </row>
    <row r="1808" spans="1:32" s="608" customFormat="1" x14ac:dyDescent="0.25">
      <c r="A1808" s="624"/>
      <c r="B1808" s="617">
        <v>39089752500</v>
      </c>
      <c r="C1808" s="617" t="s">
        <v>3476</v>
      </c>
      <c r="D1808" s="617" t="s">
        <v>68</v>
      </c>
      <c r="E1808" s="617" t="s">
        <v>4854</v>
      </c>
      <c r="F1808" s="617" t="s">
        <v>24</v>
      </c>
      <c r="G1808" s="624"/>
      <c r="O1808" s="616"/>
      <c r="P1808" s="616"/>
      <c r="Q1808" s="616"/>
      <c r="AA1808" s="624"/>
      <c r="AB1808" s="663">
        <v>39093080700</v>
      </c>
      <c r="AC1808" s="663" t="s">
        <v>6740</v>
      </c>
      <c r="AD1808" s="663" t="s">
        <v>4941</v>
      </c>
      <c r="AE1808" s="663" t="s">
        <v>4942</v>
      </c>
      <c r="AF1808" s="663" t="s">
        <v>4946</v>
      </c>
    </row>
    <row r="1809" spans="1:32" s="608" customFormat="1" x14ac:dyDescent="0.25">
      <c r="A1809" s="624"/>
      <c r="B1809" s="617">
        <v>39089752801</v>
      </c>
      <c r="C1809" s="617" t="s">
        <v>3477</v>
      </c>
      <c r="D1809" s="617" t="s">
        <v>68</v>
      </c>
      <c r="E1809" s="617" t="s">
        <v>4854</v>
      </c>
      <c r="F1809" s="617" t="s">
        <v>26</v>
      </c>
      <c r="G1809" s="624"/>
      <c r="O1809" s="616"/>
      <c r="P1809" s="616"/>
      <c r="Q1809" s="616"/>
      <c r="AA1809" s="624"/>
      <c r="AB1809" s="663">
        <v>39093090100</v>
      </c>
      <c r="AC1809" s="663" t="s">
        <v>6741</v>
      </c>
      <c r="AD1809" s="663" t="s">
        <v>4938</v>
      </c>
      <c r="AE1809" s="663" t="s">
        <v>4939</v>
      </c>
      <c r="AF1809" s="663" t="s">
        <v>4929</v>
      </c>
    </row>
    <row r="1810" spans="1:32" s="608" customFormat="1" x14ac:dyDescent="0.25">
      <c r="A1810" s="624"/>
      <c r="B1810" s="617">
        <v>39089752802</v>
      </c>
      <c r="C1810" s="617" t="s">
        <v>3478</v>
      </c>
      <c r="D1810" s="617" t="s">
        <v>68</v>
      </c>
      <c r="E1810" s="617" t="s">
        <v>4854</v>
      </c>
      <c r="F1810" s="617" t="s">
        <v>26</v>
      </c>
      <c r="G1810" s="624"/>
      <c r="O1810" s="616"/>
      <c r="P1810" s="616"/>
      <c r="Q1810" s="616"/>
      <c r="AA1810" s="624"/>
      <c r="AB1810" s="663">
        <v>39093090200</v>
      </c>
      <c r="AC1810" s="663" t="s">
        <v>6742</v>
      </c>
      <c r="AD1810" s="663" t="s">
        <v>4938</v>
      </c>
      <c r="AE1810" s="663" t="s">
        <v>4942</v>
      </c>
      <c r="AF1810" s="663" t="s">
        <v>4929</v>
      </c>
    </row>
    <row r="1811" spans="1:32" s="608" customFormat="1" x14ac:dyDescent="0.25">
      <c r="A1811" s="624"/>
      <c r="B1811" s="617">
        <v>39089753100</v>
      </c>
      <c r="C1811" s="617" t="s">
        <v>3479</v>
      </c>
      <c r="D1811" s="617" t="s">
        <v>68</v>
      </c>
      <c r="E1811" s="617" t="s">
        <v>4854</v>
      </c>
      <c r="F1811" s="617" t="s">
        <v>26</v>
      </c>
      <c r="G1811" s="624"/>
      <c r="O1811" s="616"/>
      <c r="P1811" s="616"/>
      <c r="Q1811" s="616"/>
      <c r="AA1811" s="624"/>
      <c r="AB1811" s="663">
        <v>39093091100</v>
      </c>
      <c r="AC1811" s="663" t="s">
        <v>6743</v>
      </c>
      <c r="AD1811" s="663" t="s">
        <v>4938</v>
      </c>
      <c r="AE1811" s="663" t="s">
        <v>4931</v>
      </c>
      <c r="AF1811" s="663" t="s">
        <v>4929</v>
      </c>
    </row>
    <row r="1812" spans="1:32" s="608" customFormat="1" x14ac:dyDescent="0.25">
      <c r="A1812" s="624"/>
      <c r="B1812" s="617">
        <v>39089753301</v>
      </c>
      <c r="C1812" s="617" t="s">
        <v>3480</v>
      </c>
      <c r="D1812" s="617" t="s">
        <v>68</v>
      </c>
      <c r="E1812" s="617" t="s">
        <v>4854</v>
      </c>
      <c r="F1812" s="617" t="s">
        <v>26</v>
      </c>
      <c r="G1812" s="624"/>
      <c r="O1812" s="616"/>
      <c r="P1812" s="616"/>
      <c r="Q1812" s="616"/>
      <c r="AA1812" s="624"/>
      <c r="AB1812" s="663">
        <v>39093091200</v>
      </c>
      <c r="AC1812" s="663" t="s">
        <v>6744</v>
      </c>
      <c r="AD1812" s="663" t="s">
        <v>4950</v>
      </c>
      <c r="AE1812" s="663" t="s">
        <v>4942</v>
      </c>
      <c r="AF1812" s="663" t="s">
        <v>4946</v>
      </c>
    </row>
    <row r="1813" spans="1:32" s="608" customFormat="1" x14ac:dyDescent="0.25">
      <c r="A1813" s="624"/>
      <c r="B1813" s="617">
        <v>39089753302</v>
      </c>
      <c r="C1813" s="617" t="s">
        <v>3481</v>
      </c>
      <c r="D1813" s="617" t="s">
        <v>68</v>
      </c>
      <c r="E1813" s="617" t="s">
        <v>4854</v>
      </c>
      <c r="F1813" s="617" t="s">
        <v>26</v>
      </c>
      <c r="G1813" s="624"/>
      <c r="O1813" s="616"/>
      <c r="P1813" s="616"/>
      <c r="Q1813" s="616"/>
      <c r="AA1813" s="624"/>
      <c r="AB1813" s="663">
        <v>39093092100</v>
      </c>
      <c r="AC1813" s="663" t="s">
        <v>6745</v>
      </c>
      <c r="AD1813" s="663" t="s">
        <v>4938</v>
      </c>
      <c r="AE1813" s="663" t="s">
        <v>4931</v>
      </c>
      <c r="AF1813" s="663" t="s">
        <v>4929</v>
      </c>
    </row>
    <row r="1814" spans="1:32" s="608" customFormat="1" x14ac:dyDescent="0.25">
      <c r="A1814" s="624"/>
      <c r="B1814" s="617">
        <v>39089753600</v>
      </c>
      <c r="C1814" s="617" t="s">
        <v>3482</v>
      </c>
      <c r="D1814" s="617" t="s">
        <v>68</v>
      </c>
      <c r="E1814" s="617" t="s">
        <v>4854</v>
      </c>
      <c r="F1814" s="617" t="s">
        <v>26</v>
      </c>
      <c r="G1814" s="624"/>
      <c r="O1814" s="616"/>
      <c r="P1814" s="616"/>
      <c r="Q1814" s="616"/>
      <c r="AA1814" s="624"/>
      <c r="AB1814" s="663">
        <v>39093093100</v>
      </c>
      <c r="AC1814" s="663" t="s">
        <v>6746</v>
      </c>
      <c r="AD1814" s="663" t="s">
        <v>4941</v>
      </c>
      <c r="AE1814" s="663" t="s">
        <v>4934</v>
      </c>
      <c r="AF1814" s="663" t="s">
        <v>4929</v>
      </c>
    </row>
    <row r="1815" spans="1:32" s="608" customFormat="1" x14ac:dyDescent="0.25">
      <c r="A1815" s="624"/>
      <c r="B1815" s="617">
        <v>39089753900</v>
      </c>
      <c r="C1815" s="617" t="s">
        <v>3483</v>
      </c>
      <c r="D1815" s="617" t="s">
        <v>68</v>
      </c>
      <c r="E1815" s="617" t="s">
        <v>4854</v>
      </c>
      <c r="F1815" s="617" t="s">
        <v>26</v>
      </c>
      <c r="G1815" s="624"/>
      <c r="O1815" s="616"/>
      <c r="P1815" s="616"/>
      <c r="Q1815" s="616"/>
      <c r="AA1815" s="624"/>
      <c r="AB1815" s="663">
        <v>39093094100</v>
      </c>
      <c r="AC1815" s="663" t="s">
        <v>6747</v>
      </c>
      <c r="AD1815" s="663" t="s">
        <v>4941</v>
      </c>
      <c r="AE1815" s="663" t="s">
        <v>4931</v>
      </c>
      <c r="AF1815" s="663" t="s">
        <v>4929</v>
      </c>
    </row>
    <row r="1816" spans="1:32" s="608" customFormat="1" x14ac:dyDescent="0.25">
      <c r="A1816" s="624"/>
      <c r="B1816" s="617">
        <v>39089754102</v>
      </c>
      <c r="C1816" s="617" t="s">
        <v>3484</v>
      </c>
      <c r="D1816" s="617" t="s">
        <v>68</v>
      </c>
      <c r="E1816" s="617" t="s">
        <v>4854</v>
      </c>
      <c r="F1816" s="617" t="s">
        <v>26</v>
      </c>
      <c r="G1816" s="624"/>
      <c r="O1816" s="616"/>
      <c r="P1816" s="616"/>
      <c r="Q1816" s="616"/>
      <c r="AA1816" s="624"/>
      <c r="AB1816" s="663">
        <v>39093095100</v>
      </c>
      <c r="AC1816" s="663" t="s">
        <v>6748</v>
      </c>
      <c r="AD1816" s="663" t="s">
        <v>4938</v>
      </c>
      <c r="AE1816" s="663" t="s">
        <v>4934</v>
      </c>
      <c r="AF1816" s="663" t="s">
        <v>4929</v>
      </c>
    </row>
    <row r="1817" spans="1:32" s="608" customFormat="1" x14ac:dyDescent="0.25">
      <c r="A1817" s="624"/>
      <c r="B1817" s="617">
        <v>39089754103</v>
      </c>
      <c r="C1817" s="617" t="s">
        <v>3485</v>
      </c>
      <c r="D1817" s="617" t="s">
        <v>68</v>
      </c>
      <c r="E1817" s="617" t="s">
        <v>4854</v>
      </c>
      <c r="F1817" s="617" t="s">
        <v>26</v>
      </c>
      <c r="G1817" s="624"/>
      <c r="O1817" s="616"/>
      <c r="P1817" s="616"/>
      <c r="Q1817" s="616"/>
      <c r="AA1817" s="624"/>
      <c r="AB1817" s="663">
        <v>39093096100</v>
      </c>
      <c r="AC1817" s="663" t="s">
        <v>6749</v>
      </c>
      <c r="AD1817" s="663" t="s">
        <v>4950</v>
      </c>
      <c r="AE1817" s="663" t="s">
        <v>4934</v>
      </c>
      <c r="AF1817" s="663" t="s">
        <v>4929</v>
      </c>
    </row>
    <row r="1818" spans="1:32" s="608" customFormat="1" x14ac:dyDescent="0.25">
      <c r="A1818" s="624"/>
      <c r="B1818" s="617">
        <v>39089754104</v>
      </c>
      <c r="C1818" s="617" t="s">
        <v>3486</v>
      </c>
      <c r="D1818" s="617" t="s">
        <v>68</v>
      </c>
      <c r="E1818" s="617" t="s">
        <v>4854</v>
      </c>
      <c r="F1818" s="617" t="s">
        <v>26</v>
      </c>
      <c r="G1818" s="624"/>
      <c r="O1818" s="616"/>
      <c r="P1818" s="616"/>
      <c r="Q1818" s="616"/>
      <c r="AA1818" s="624"/>
      <c r="AB1818" s="663">
        <v>39093097100</v>
      </c>
      <c r="AC1818" s="663" t="s">
        <v>6750</v>
      </c>
      <c r="AD1818" s="663" t="s">
        <v>4948</v>
      </c>
      <c r="AE1818" s="663" t="s">
        <v>4939</v>
      </c>
      <c r="AF1818" s="663" t="s">
        <v>4929</v>
      </c>
    </row>
    <row r="1819" spans="1:32" s="608" customFormat="1" x14ac:dyDescent="0.25">
      <c r="A1819" s="624"/>
      <c r="B1819" s="617">
        <v>39089754400</v>
      </c>
      <c r="C1819" s="617" t="s">
        <v>3487</v>
      </c>
      <c r="D1819" s="617" t="s">
        <v>68</v>
      </c>
      <c r="E1819" s="617" t="s">
        <v>4854</v>
      </c>
      <c r="F1819" s="617" t="s">
        <v>26</v>
      </c>
      <c r="G1819" s="624"/>
      <c r="O1819" s="616"/>
      <c r="P1819" s="616"/>
      <c r="Q1819" s="616"/>
      <c r="AA1819" s="624"/>
      <c r="AB1819" s="663">
        <v>39093097200</v>
      </c>
      <c r="AC1819" s="663" t="s">
        <v>6751</v>
      </c>
      <c r="AD1819" s="663" t="s">
        <v>4948</v>
      </c>
      <c r="AE1819" s="663" t="s">
        <v>4942</v>
      </c>
      <c r="AF1819" s="663" t="s">
        <v>4946</v>
      </c>
    </row>
    <row r="1820" spans="1:32" s="608" customFormat="1" x14ac:dyDescent="0.25">
      <c r="A1820" s="624"/>
      <c r="B1820" s="617">
        <v>39089754700</v>
      </c>
      <c r="C1820" s="617" t="s">
        <v>3488</v>
      </c>
      <c r="D1820" s="617" t="s">
        <v>68</v>
      </c>
      <c r="E1820" s="617" t="s">
        <v>4854</v>
      </c>
      <c r="F1820" s="617" t="s">
        <v>26</v>
      </c>
      <c r="G1820" s="624"/>
      <c r="O1820" s="616"/>
      <c r="P1820" s="616"/>
      <c r="Q1820" s="616"/>
      <c r="AA1820" s="624"/>
      <c r="AB1820" s="663">
        <v>39093097300</v>
      </c>
      <c r="AC1820" s="663" t="s">
        <v>6752</v>
      </c>
      <c r="AD1820" s="663" t="s">
        <v>4950</v>
      </c>
      <c r="AE1820" s="663" t="s">
        <v>4928</v>
      </c>
      <c r="AF1820" s="663" t="s">
        <v>4962</v>
      </c>
    </row>
    <row r="1821" spans="1:32" s="608" customFormat="1" x14ac:dyDescent="0.25">
      <c r="A1821" s="624"/>
      <c r="B1821" s="617">
        <v>39089755000</v>
      </c>
      <c r="C1821" s="617" t="s">
        <v>3489</v>
      </c>
      <c r="D1821" s="617" t="s">
        <v>68</v>
      </c>
      <c r="E1821" s="617" t="s">
        <v>4854</v>
      </c>
      <c r="F1821" s="617" t="s">
        <v>26</v>
      </c>
      <c r="G1821" s="624"/>
      <c r="O1821" s="616"/>
      <c r="P1821" s="616"/>
      <c r="Q1821" s="616"/>
      <c r="AA1821" s="624"/>
      <c r="AB1821" s="663">
        <v>39093097400</v>
      </c>
      <c r="AC1821" s="663" t="s">
        <v>6753</v>
      </c>
      <c r="AD1821" s="663" t="s">
        <v>4938</v>
      </c>
      <c r="AE1821" s="663" t="s">
        <v>5006</v>
      </c>
      <c r="AF1821" s="663" t="s">
        <v>4946</v>
      </c>
    </row>
    <row r="1822" spans="1:32" s="608" customFormat="1" x14ac:dyDescent="0.25">
      <c r="A1822" s="624"/>
      <c r="B1822" s="617">
        <v>39089755301</v>
      </c>
      <c r="C1822" s="617" t="s">
        <v>3490</v>
      </c>
      <c r="D1822" s="617" t="s">
        <v>68</v>
      </c>
      <c r="E1822" s="617" t="s">
        <v>4854</v>
      </c>
      <c r="F1822" s="617" t="s">
        <v>26</v>
      </c>
      <c r="G1822" s="624"/>
      <c r="O1822" s="616"/>
      <c r="P1822" s="616"/>
      <c r="Q1822" s="616"/>
      <c r="AA1822" s="624"/>
      <c r="AB1822" s="663">
        <v>39095000200</v>
      </c>
      <c r="AC1822" s="663" t="s">
        <v>6754</v>
      </c>
      <c r="AD1822" s="663" t="s">
        <v>4941</v>
      </c>
      <c r="AE1822" s="663" t="s">
        <v>4928</v>
      </c>
      <c r="AF1822" s="663" t="s">
        <v>4962</v>
      </c>
    </row>
    <row r="1823" spans="1:32" s="608" customFormat="1" x14ac:dyDescent="0.25">
      <c r="A1823" s="624"/>
      <c r="B1823" s="617">
        <v>39089755302</v>
      </c>
      <c r="C1823" s="617" t="s">
        <v>3491</v>
      </c>
      <c r="D1823" s="617" t="s">
        <v>68</v>
      </c>
      <c r="E1823" s="617" t="s">
        <v>4854</v>
      </c>
      <c r="F1823" s="617" t="s">
        <v>26</v>
      </c>
      <c r="G1823" s="624"/>
      <c r="O1823" s="616"/>
      <c r="P1823" s="616"/>
      <c r="Q1823" s="616"/>
      <c r="AA1823" s="624"/>
      <c r="AB1823" s="663">
        <v>39095000300</v>
      </c>
      <c r="AC1823" s="663" t="s">
        <v>6755</v>
      </c>
      <c r="AD1823" s="663" t="s">
        <v>4941</v>
      </c>
      <c r="AE1823" s="663" t="s">
        <v>4928</v>
      </c>
      <c r="AF1823" s="663" t="s">
        <v>4962</v>
      </c>
    </row>
    <row r="1824" spans="1:32" s="608" customFormat="1" x14ac:dyDescent="0.25">
      <c r="A1824" s="624"/>
      <c r="B1824" s="617">
        <v>39089755601</v>
      </c>
      <c r="C1824" s="617" t="s">
        <v>3492</v>
      </c>
      <c r="D1824" s="617" t="s">
        <v>68</v>
      </c>
      <c r="E1824" s="617" t="s">
        <v>4854</v>
      </c>
      <c r="F1824" s="617" t="s">
        <v>26</v>
      </c>
      <c r="G1824" s="624"/>
      <c r="O1824" s="616"/>
      <c r="P1824" s="616"/>
      <c r="Q1824" s="616"/>
      <c r="AA1824" s="624"/>
      <c r="AB1824" s="663">
        <v>39095000400</v>
      </c>
      <c r="AC1824" s="663" t="s">
        <v>6756</v>
      </c>
      <c r="AD1824" s="663" t="s">
        <v>4948</v>
      </c>
      <c r="AE1824" s="663" t="s">
        <v>4931</v>
      </c>
      <c r="AF1824" s="663" t="s">
        <v>4962</v>
      </c>
    </row>
    <row r="1825" spans="1:32" s="608" customFormat="1" x14ac:dyDescent="0.25">
      <c r="A1825" s="624"/>
      <c r="B1825" s="617">
        <v>39089755602</v>
      </c>
      <c r="C1825" s="617" t="s">
        <v>3493</v>
      </c>
      <c r="D1825" s="617" t="s">
        <v>68</v>
      </c>
      <c r="E1825" s="617" t="s">
        <v>4854</v>
      </c>
      <c r="F1825" s="617" t="s">
        <v>26</v>
      </c>
      <c r="G1825" s="624"/>
      <c r="O1825" s="616"/>
      <c r="P1825" s="616"/>
      <c r="Q1825" s="616"/>
      <c r="AA1825" s="624"/>
      <c r="AB1825" s="663">
        <v>39095000600</v>
      </c>
      <c r="AC1825" s="663" t="s">
        <v>6757</v>
      </c>
      <c r="AD1825" s="663" t="s">
        <v>4941</v>
      </c>
      <c r="AE1825" s="663" t="s">
        <v>4934</v>
      </c>
      <c r="AF1825" s="663" t="s">
        <v>4962</v>
      </c>
    </row>
    <row r="1826" spans="1:32" s="608" customFormat="1" x14ac:dyDescent="0.25">
      <c r="A1826" s="624"/>
      <c r="B1826" s="617">
        <v>39089755901</v>
      </c>
      <c r="C1826" s="617" t="s">
        <v>3494</v>
      </c>
      <c r="D1826" s="617" t="s">
        <v>68</v>
      </c>
      <c r="E1826" s="617" t="s">
        <v>4854</v>
      </c>
      <c r="F1826" s="617" t="s">
        <v>26</v>
      </c>
      <c r="G1826" s="624"/>
      <c r="O1826" s="616"/>
      <c r="P1826" s="616"/>
      <c r="Q1826" s="616"/>
      <c r="AA1826" s="624"/>
      <c r="AB1826" s="663">
        <v>39095000700</v>
      </c>
      <c r="AC1826" s="663" t="s">
        <v>6758</v>
      </c>
      <c r="AD1826" s="663" t="s">
        <v>4941</v>
      </c>
      <c r="AE1826" s="663" t="s">
        <v>4928</v>
      </c>
      <c r="AF1826" s="663" t="s">
        <v>4962</v>
      </c>
    </row>
    <row r="1827" spans="1:32" s="608" customFormat="1" x14ac:dyDescent="0.25">
      <c r="A1827" s="624"/>
      <c r="B1827" s="617">
        <v>39089755902</v>
      </c>
      <c r="C1827" s="617" t="s">
        <v>3495</v>
      </c>
      <c r="D1827" s="617" t="s">
        <v>68</v>
      </c>
      <c r="E1827" s="617" t="s">
        <v>4854</v>
      </c>
      <c r="F1827" s="617" t="s">
        <v>26</v>
      </c>
      <c r="G1827" s="624"/>
      <c r="O1827" s="616"/>
      <c r="P1827" s="616"/>
      <c r="Q1827" s="616"/>
      <c r="AA1827" s="624"/>
      <c r="AB1827" s="663">
        <v>39095000800</v>
      </c>
      <c r="AC1827" s="663" t="s">
        <v>6759</v>
      </c>
      <c r="AD1827" s="663" t="s">
        <v>4927</v>
      </c>
      <c r="AE1827" s="663" t="s">
        <v>4928</v>
      </c>
      <c r="AF1827" s="663" t="s">
        <v>4962</v>
      </c>
    </row>
    <row r="1828" spans="1:32" s="608" customFormat="1" x14ac:dyDescent="0.25">
      <c r="A1828" s="624"/>
      <c r="B1828" s="617">
        <v>39089756201</v>
      </c>
      <c r="C1828" s="617" t="s">
        <v>3496</v>
      </c>
      <c r="D1828" s="617" t="s">
        <v>68</v>
      </c>
      <c r="E1828" s="617" t="s">
        <v>4854</v>
      </c>
      <c r="F1828" s="617" t="s">
        <v>26</v>
      </c>
      <c r="G1828" s="624"/>
      <c r="O1828" s="616"/>
      <c r="P1828" s="616"/>
      <c r="Q1828" s="616"/>
      <c r="AA1828" s="624"/>
      <c r="AB1828" s="663">
        <v>39095000900</v>
      </c>
      <c r="AC1828" s="663" t="s">
        <v>6760</v>
      </c>
      <c r="AD1828" s="663" t="s">
        <v>4950</v>
      </c>
      <c r="AE1828" s="663" t="s">
        <v>4928</v>
      </c>
      <c r="AF1828" s="663" t="s">
        <v>4962</v>
      </c>
    </row>
    <row r="1829" spans="1:32" s="608" customFormat="1" x14ac:dyDescent="0.25">
      <c r="A1829" s="624"/>
      <c r="B1829" s="617">
        <v>39089756203</v>
      </c>
      <c r="C1829" s="617" t="s">
        <v>3497</v>
      </c>
      <c r="D1829" s="617" t="s">
        <v>68</v>
      </c>
      <c r="E1829" s="617" t="s">
        <v>4854</v>
      </c>
      <c r="F1829" s="617" t="s">
        <v>26</v>
      </c>
      <c r="G1829" s="624"/>
      <c r="O1829" s="616"/>
      <c r="P1829" s="616"/>
      <c r="Q1829" s="616"/>
      <c r="AA1829" s="624"/>
      <c r="AB1829" s="663">
        <v>39095001000</v>
      </c>
      <c r="AC1829" s="663" t="s">
        <v>6761</v>
      </c>
      <c r="AD1829" s="663" t="s">
        <v>4950</v>
      </c>
      <c r="AE1829" s="663" t="s">
        <v>4928</v>
      </c>
      <c r="AF1829" s="663" t="s">
        <v>4962</v>
      </c>
    </row>
    <row r="1830" spans="1:32" s="608" customFormat="1" x14ac:dyDescent="0.25">
      <c r="A1830" s="624"/>
      <c r="B1830" s="617">
        <v>39089756204</v>
      </c>
      <c r="C1830" s="617" t="s">
        <v>3498</v>
      </c>
      <c r="D1830" s="617" t="s">
        <v>68</v>
      </c>
      <c r="E1830" s="617" t="s">
        <v>4854</v>
      </c>
      <c r="F1830" s="617" t="s">
        <v>26</v>
      </c>
      <c r="G1830" s="624"/>
      <c r="O1830" s="616"/>
      <c r="P1830" s="616"/>
      <c r="Q1830" s="616"/>
      <c r="AA1830" s="624"/>
      <c r="AB1830" s="663">
        <v>39095001100</v>
      </c>
      <c r="AC1830" s="663" t="s">
        <v>6762</v>
      </c>
      <c r="AD1830" s="663" t="s">
        <v>4948</v>
      </c>
      <c r="AE1830" s="663" t="s">
        <v>4942</v>
      </c>
      <c r="AF1830" s="663" t="s">
        <v>4962</v>
      </c>
    </row>
    <row r="1831" spans="1:32" s="608" customFormat="1" x14ac:dyDescent="0.25">
      <c r="A1831" s="624"/>
      <c r="B1831" s="617">
        <v>39089756500</v>
      </c>
      <c r="C1831" s="617" t="s">
        <v>3499</v>
      </c>
      <c r="D1831" s="617" t="s">
        <v>68</v>
      </c>
      <c r="E1831" s="617" t="s">
        <v>4854</v>
      </c>
      <c r="F1831" s="617" t="s">
        <v>26</v>
      </c>
      <c r="G1831" s="624"/>
      <c r="O1831" s="616"/>
      <c r="P1831" s="616"/>
      <c r="Q1831" s="616"/>
      <c r="AA1831" s="624"/>
      <c r="AB1831" s="663">
        <v>39095001201</v>
      </c>
      <c r="AC1831" s="663" t="s">
        <v>6763</v>
      </c>
      <c r="AD1831" s="663" t="s">
        <v>4927</v>
      </c>
      <c r="AE1831" s="663" t="s">
        <v>4942</v>
      </c>
      <c r="AF1831" s="663" t="s">
        <v>4946</v>
      </c>
    </row>
    <row r="1832" spans="1:32" s="608" customFormat="1" x14ac:dyDescent="0.25">
      <c r="A1832" s="624"/>
      <c r="B1832" s="617">
        <v>39089756801</v>
      </c>
      <c r="C1832" s="617" t="s">
        <v>3500</v>
      </c>
      <c r="D1832" s="617" t="s">
        <v>68</v>
      </c>
      <c r="E1832" s="617" t="s">
        <v>4854</v>
      </c>
      <c r="F1832" s="617" t="s">
        <v>26</v>
      </c>
      <c r="G1832" s="624"/>
      <c r="O1832" s="616"/>
      <c r="P1832" s="616"/>
      <c r="Q1832" s="616"/>
      <c r="AA1832" s="624"/>
      <c r="AB1832" s="663">
        <v>39095001202</v>
      </c>
      <c r="AC1832" s="663" t="s">
        <v>6764</v>
      </c>
      <c r="AD1832" s="663" t="s">
        <v>4927</v>
      </c>
      <c r="AE1832" s="663" t="s">
        <v>4942</v>
      </c>
      <c r="AF1832" s="663" t="s">
        <v>4962</v>
      </c>
    </row>
    <row r="1833" spans="1:32" s="608" customFormat="1" x14ac:dyDescent="0.25">
      <c r="A1833" s="624"/>
      <c r="B1833" s="617">
        <v>39089756802</v>
      </c>
      <c r="C1833" s="617" t="s">
        <v>3501</v>
      </c>
      <c r="D1833" s="617" t="s">
        <v>68</v>
      </c>
      <c r="E1833" s="617" t="s">
        <v>4854</v>
      </c>
      <c r="F1833" s="617" t="s">
        <v>26</v>
      </c>
      <c r="G1833" s="624"/>
      <c r="O1833" s="616"/>
      <c r="P1833" s="616"/>
      <c r="Q1833" s="616"/>
      <c r="AA1833" s="624"/>
      <c r="AB1833" s="663">
        <v>39095001301</v>
      </c>
      <c r="AC1833" s="663" t="s">
        <v>6765</v>
      </c>
      <c r="AD1833" s="663" t="s">
        <v>4938</v>
      </c>
      <c r="AE1833" s="663" t="s">
        <v>4928</v>
      </c>
      <c r="AF1833" s="663" t="s">
        <v>4962</v>
      </c>
    </row>
    <row r="1834" spans="1:32" s="608" customFormat="1" x14ac:dyDescent="0.25">
      <c r="A1834" s="624"/>
      <c r="B1834" s="617">
        <v>39089756803</v>
      </c>
      <c r="C1834" s="617" t="s">
        <v>3502</v>
      </c>
      <c r="D1834" s="617" t="s">
        <v>68</v>
      </c>
      <c r="E1834" s="617" t="s">
        <v>4854</v>
      </c>
      <c r="F1834" s="617" t="s">
        <v>26</v>
      </c>
      <c r="G1834" s="624"/>
      <c r="O1834" s="616"/>
      <c r="P1834" s="616"/>
      <c r="Q1834" s="616"/>
      <c r="AA1834" s="624"/>
      <c r="AB1834" s="663">
        <v>39095001302</v>
      </c>
      <c r="AC1834" s="663" t="s">
        <v>6766</v>
      </c>
      <c r="AD1834" s="663" t="s">
        <v>4941</v>
      </c>
      <c r="AE1834" s="663" t="s">
        <v>4942</v>
      </c>
      <c r="AF1834" s="663" t="s">
        <v>4962</v>
      </c>
    </row>
    <row r="1835" spans="1:32" s="608" customFormat="1" x14ac:dyDescent="0.25">
      <c r="A1835" s="624"/>
      <c r="B1835" s="617">
        <v>39089757100</v>
      </c>
      <c r="C1835" s="617" t="s">
        <v>3503</v>
      </c>
      <c r="D1835" s="617" t="s">
        <v>68</v>
      </c>
      <c r="E1835" s="617" t="s">
        <v>4854</v>
      </c>
      <c r="F1835" s="617" t="s">
        <v>26</v>
      </c>
      <c r="G1835" s="624"/>
      <c r="O1835" s="616"/>
      <c r="P1835" s="616"/>
      <c r="Q1835" s="616"/>
      <c r="AA1835" s="624"/>
      <c r="AB1835" s="663">
        <v>39095001303</v>
      </c>
      <c r="AC1835" s="663" t="s">
        <v>6767</v>
      </c>
      <c r="AD1835" s="663" t="s">
        <v>4938</v>
      </c>
      <c r="AE1835" s="663" t="s">
        <v>4928</v>
      </c>
      <c r="AF1835" s="663" t="s">
        <v>4962</v>
      </c>
    </row>
    <row r="1836" spans="1:32" s="608" customFormat="1" x14ac:dyDescent="0.25">
      <c r="A1836" s="624"/>
      <c r="B1836" s="617">
        <v>39089757401</v>
      </c>
      <c r="C1836" s="617" t="s">
        <v>3504</v>
      </c>
      <c r="D1836" s="617" t="s">
        <v>68</v>
      </c>
      <c r="E1836" s="617" t="s">
        <v>4854</v>
      </c>
      <c r="F1836" s="617" t="s">
        <v>26</v>
      </c>
      <c r="G1836" s="624"/>
      <c r="O1836" s="616"/>
      <c r="P1836" s="616"/>
      <c r="Q1836" s="616"/>
      <c r="AA1836" s="624"/>
      <c r="AB1836" s="663">
        <v>39095001400</v>
      </c>
      <c r="AC1836" s="663" t="s">
        <v>6768</v>
      </c>
      <c r="AD1836" s="663" t="s">
        <v>4927</v>
      </c>
      <c r="AE1836" s="663" t="s">
        <v>4928</v>
      </c>
      <c r="AF1836" s="663" t="s">
        <v>4962</v>
      </c>
    </row>
    <row r="1837" spans="1:32" s="608" customFormat="1" x14ac:dyDescent="0.25">
      <c r="A1837" s="624"/>
      <c r="B1837" s="617">
        <v>39089757402</v>
      </c>
      <c r="C1837" s="617" t="s">
        <v>3505</v>
      </c>
      <c r="D1837" s="617" t="s">
        <v>68</v>
      </c>
      <c r="E1837" s="617" t="s">
        <v>4854</v>
      </c>
      <c r="F1837" s="617" t="s">
        <v>26</v>
      </c>
      <c r="G1837" s="624"/>
      <c r="O1837" s="616"/>
      <c r="P1837" s="616"/>
      <c r="Q1837" s="616"/>
      <c r="AA1837" s="624"/>
      <c r="AB1837" s="663">
        <v>39095001500</v>
      </c>
      <c r="AC1837" s="663" t="s">
        <v>6769</v>
      </c>
      <c r="AD1837" s="663" t="s">
        <v>4927</v>
      </c>
      <c r="AE1837" s="663" t="s">
        <v>4928</v>
      </c>
      <c r="AF1837" s="663" t="s">
        <v>4962</v>
      </c>
    </row>
    <row r="1838" spans="1:32" s="608" customFormat="1" x14ac:dyDescent="0.25">
      <c r="A1838" s="624"/>
      <c r="B1838" s="617">
        <v>39089757701</v>
      </c>
      <c r="C1838" s="617" t="s">
        <v>3506</v>
      </c>
      <c r="D1838" s="617" t="s">
        <v>68</v>
      </c>
      <c r="E1838" s="617" t="s">
        <v>4854</v>
      </c>
      <c r="F1838" s="617" t="s">
        <v>26</v>
      </c>
      <c r="G1838" s="624"/>
      <c r="O1838" s="616"/>
      <c r="P1838" s="616"/>
      <c r="Q1838" s="616"/>
      <c r="AA1838" s="624"/>
      <c r="AB1838" s="663">
        <v>39095001600</v>
      </c>
      <c r="AC1838" s="663" t="s">
        <v>6770</v>
      </c>
      <c r="AD1838" s="663" t="s">
        <v>4948</v>
      </c>
      <c r="AE1838" s="663" t="s">
        <v>4928</v>
      </c>
      <c r="AF1838" s="663" t="s">
        <v>4962</v>
      </c>
    </row>
    <row r="1839" spans="1:32" s="608" customFormat="1" x14ac:dyDescent="0.25">
      <c r="A1839" s="624"/>
      <c r="B1839" s="617">
        <v>39089757702</v>
      </c>
      <c r="C1839" s="617" t="s">
        <v>3507</v>
      </c>
      <c r="D1839" s="617" t="s">
        <v>68</v>
      </c>
      <c r="E1839" s="617" t="s">
        <v>4854</v>
      </c>
      <c r="F1839" s="617" t="s">
        <v>26</v>
      </c>
      <c r="G1839" s="624"/>
      <c r="O1839" s="616"/>
      <c r="P1839" s="616"/>
      <c r="Q1839" s="616"/>
      <c r="AA1839" s="624"/>
      <c r="AB1839" s="663">
        <v>39095001700</v>
      </c>
      <c r="AC1839" s="663" t="s">
        <v>6771</v>
      </c>
      <c r="AD1839" s="663" t="s">
        <v>4927</v>
      </c>
      <c r="AE1839" s="663" t="s">
        <v>4928</v>
      </c>
      <c r="AF1839" s="663" t="s">
        <v>4962</v>
      </c>
    </row>
    <row r="1840" spans="1:32" s="608" customFormat="1" x14ac:dyDescent="0.25">
      <c r="A1840" s="624"/>
      <c r="B1840" s="617">
        <v>39089758300</v>
      </c>
      <c r="C1840" s="617" t="s">
        <v>3508</v>
      </c>
      <c r="D1840" s="617" t="s">
        <v>68</v>
      </c>
      <c r="E1840" s="617" t="s">
        <v>4854</v>
      </c>
      <c r="F1840" s="617" t="s">
        <v>26</v>
      </c>
      <c r="G1840" s="624"/>
      <c r="O1840" s="616"/>
      <c r="P1840" s="616"/>
      <c r="Q1840" s="616"/>
      <c r="AA1840" s="624"/>
      <c r="AB1840" s="663">
        <v>39095001800</v>
      </c>
      <c r="AC1840" s="663" t="s">
        <v>6772</v>
      </c>
      <c r="AD1840" s="663" t="s">
        <v>4950</v>
      </c>
      <c r="AE1840" s="663" t="s">
        <v>4931</v>
      </c>
      <c r="AF1840" s="663" t="s">
        <v>4962</v>
      </c>
    </row>
    <row r="1841" spans="1:32" s="608" customFormat="1" x14ac:dyDescent="0.25">
      <c r="A1841" s="624"/>
      <c r="B1841" s="617">
        <v>39089758601</v>
      </c>
      <c r="C1841" s="617" t="s">
        <v>3509</v>
      </c>
      <c r="D1841" s="617" t="s">
        <v>68</v>
      </c>
      <c r="E1841" s="617" t="s">
        <v>4854</v>
      </c>
      <c r="F1841" s="617" t="s">
        <v>26</v>
      </c>
      <c r="G1841" s="624"/>
      <c r="O1841" s="616"/>
      <c r="P1841" s="616"/>
      <c r="Q1841" s="616"/>
      <c r="AA1841" s="624"/>
      <c r="AB1841" s="663">
        <v>39095001900</v>
      </c>
      <c r="AC1841" s="663" t="s">
        <v>6773</v>
      </c>
      <c r="AD1841" s="663" t="s">
        <v>4927</v>
      </c>
      <c r="AE1841" s="663" t="s">
        <v>4928</v>
      </c>
      <c r="AF1841" s="663" t="s">
        <v>4962</v>
      </c>
    </row>
    <row r="1842" spans="1:32" s="608" customFormat="1" x14ac:dyDescent="0.25">
      <c r="A1842" s="624"/>
      <c r="B1842" s="617">
        <v>39089758602</v>
      </c>
      <c r="C1842" s="617" t="s">
        <v>3510</v>
      </c>
      <c r="D1842" s="617" t="s">
        <v>68</v>
      </c>
      <c r="E1842" s="617" t="s">
        <v>4854</v>
      </c>
      <c r="F1842" s="617" t="s">
        <v>26</v>
      </c>
      <c r="G1842" s="624"/>
      <c r="O1842" s="616"/>
      <c r="P1842" s="616"/>
      <c r="Q1842" s="616"/>
      <c r="AA1842" s="624"/>
      <c r="AB1842" s="663">
        <v>39095002000</v>
      </c>
      <c r="AC1842" s="663" t="s">
        <v>6774</v>
      </c>
      <c r="AD1842" s="663" t="s">
        <v>4948</v>
      </c>
      <c r="AE1842" s="663" t="s">
        <v>4939</v>
      </c>
      <c r="AF1842" s="663" t="s">
        <v>4962</v>
      </c>
    </row>
    <row r="1843" spans="1:32" s="608" customFormat="1" x14ac:dyDescent="0.25">
      <c r="A1843" s="624"/>
      <c r="B1843" s="617">
        <v>39089758901</v>
      </c>
      <c r="C1843" s="617" t="s">
        <v>3511</v>
      </c>
      <c r="D1843" s="617" t="s">
        <v>68</v>
      </c>
      <c r="E1843" s="617" t="s">
        <v>4854</v>
      </c>
      <c r="F1843" s="617" t="s">
        <v>26</v>
      </c>
      <c r="G1843" s="624"/>
      <c r="O1843" s="616"/>
      <c r="P1843" s="616"/>
      <c r="Q1843" s="616"/>
      <c r="AA1843" s="624"/>
      <c r="AB1843" s="663">
        <v>39095002100</v>
      </c>
      <c r="AC1843" s="663" t="s">
        <v>6775</v>
      </c>
      <c r="AD1843" s="663" t="s">
        <v>4941</v>
      </c>
      <c r="AE1843" s="663" t="s">
        <v>4934</v>
      </c>
      <c r="AF1843" s="663" t="s">
        <v>4962</v>
      </c>
    </row>
    <row r="1844" spans="1:32" s="608" customFormat="1" x14ac:dyDescent="0.25">
      <c r="A1844" s="624"/>
      <c r="B1844" s="617">
        <v>39089758902</v>
      </c>
      <c r="C1844" s="617" t="s">
        <v>3512</v>
      </c>
      <c r="D1844" s="617" t="s">
        <v>68</v>
      </c>
      <c r="E1844" s="617" t="s">
        <v>4854</v>
      </c>
      <c r="F1844" s="617" t="s">
        <v>26</v>
      </c>
      <c r="G1844" s="624"/>
      <c r="O1844" s="616"/>
      <c r="P1844" s="616"/>
      <c r="Q1844" s="616"/>
      <c r="AA1844" s="624"/>
      <c r="AB1844" s="663">
        <v>39095002200</v>
      </c>
      <c r="AC1844" s="663" t="s">
        <v>6776</v>
      </c>
      <c r="AD1844" s="663" t="s">
        <v>4927</v>
      </c>
      <c r="AE1844" s="663" t="s">
        <v>4934</v>
      </c>
      <c r="AF1844" s="663" t="s">
        <v>4962</v>
      </c>
    </row>
    <row r="1845" spans="1:32" s="608" customFormat="1" x14ac:dyDescent="0.25">
      <c r="A1845" s="624"/>
      <c r="B1845" s="617">
        <v>39089759000</v>
      </c>
      <c r="C1845" s="617" t="s">
        <v>3513</v>
      </c>
      <c r="D1845" s="617" t="s">
        <v>68</v>
      </c>
      <c r="E1845" s="617" t="s">
        <v>4854</v>
      </c>
      <c r="F1845" s="617" t="s">
        <v>24</v>
      </c>
      <c r="G1845" s="624"/>
      <c r="O1845" s="616"/>
      <c r="P1845" s="616"/>
      <c r="Q1845" s="616"/>
      <c r="AA1845" s="624"/>
      <c r="AB1845" s="663">
        <v>39095002300</v>
      </c>
      <c r="AC1845" s="663" t="s">
        <v>6777</v>
      </c>
      <c r="AD1845" s="663" t="s">
        <v>4927</v>
      </c>
      <c r="AE1845" s="663" t="s">
        <v>5332</v>
      </c>
      <c r="AF1845" s="663" t="s">
        <v>4962</v>
      </c>
    </row>
    <row r="1846" spans="1:32" s="608" customFormat="1" x14ac:dyDescent="0.25">
      <c r="A1846" s="624"/>
      <c r="B1846" s="617">
        <v>39089759101</v>
      </c>
      <c r="C1846" s="617" t="s">
        <v>3514</v>
      </c>
      <c r="D1846" s="617" t="s">
        <v>68</v>
      </c>
      <c r="E1846" s="617" t="s">
        <v>4854</v>
      </c>
      <c r="F1846" s="617" t="s">
        <v>26</v>
      </c>
      <c r="G1846" s="624"/>
      <c r="O1846" s="616"/>
      <c r="P1846" s="616"/>
      <c r="Q1846" s="616"/>
      <c r="AA1846" s="624"/>
      <c r="AB1846" s="663">
        <v>39095002401</v>
      </c>
      <c r="AC1846" s="663" t="s">
        <v>6778</v>
      </c>
      <c r="AD1846" s="663" t="s">
        <v>4941</v>
      </c>
      <c r="AE1846" s="663" t="s">
        <v>4942</v>
      </c>
      <c r="AF1846" s="663" t="s">
        <v>4962</v>
      </c>
    </row>
    <row r="1847" spans="1:32" s="608" customFormat="1" x14ac:dyDescent="0.25">
      <c r="A1847" s="624"/>
      <c r="B1847" s="617">
        <v>39089759102</v>
      </c>
      <c r="C1847" s="617" t="s">
        <v>3515</v>
      </c>
      <c r="D1847" s="617" t="s">
        <v>68</v>
      </c>
      <c r="E1847" s="617" t="s">
        <v>4854</v>
      </c>
      <c r="F1847" s="617" t="s">
        <v>26</v>
      </c>
      <c r="G1847" s="624"/>
      <c r="O1847" s="616"/>
      <c r="P1847" s="616"/>
      <c r="Q1847" s="616"/>
      <c r="AA1847" s="624"/>
      <c r="AB1847" s="663">
        <v>39095002402</v>
      </c>
      <c r="AC1847" s="663" t="s">
        <v>6779</v>
      </c>
      <c r="AD1847" s="663" t="s">
        <v>4927</v>
      </c>
      <c r="AE1847" s="663" t="s">
        <v>4928</v>
      </c>
      <c r="AF1847" s="663" t="s">
        <v>4962</v>
      </c>
    </row>
    <row r="1848" spans="1:32" s="608" customFormat="1" x14ac:dyDescent="0.25">
      <c r="A1848" s="624"/>
      <c r="B1848" s="617">
        <v>39091003800</v>
      </c>
      <c r="C1848" s="617" t="s">
        <v>3516</v>
      </c>
      <c r="D1848" s="617" t="s">
        <v>69</v>
      </c>
      <c r="E1848" s="617" t="s">
        <v>1672</v>
      </c>
      <c r="F1848" s="617" t="s">
        <v>26</v>
      </c>
      <c r="G1848" s="624"/>
      <c r="O1848" s="616"/>
      <c r="P1848" s="616"/>
      <c r="Q1848" s="616"/>
      <c r="AA1848" s="624"/>
      <c r="AB1848" s="663">
        <v>39095002500</v>
      </c>
      <c r="AC1848" s="663" t="s">
        <v>6780</v>
      </c>
      <c r="AD1848" s="663" t="s">
        <v>4927</v>
      </c>
      <c r="AE1848" s="663" t="s">
        <v>4928</v>
      </c>
      <c r="AF1848" s="663" t="s">
        <v>4962</v>
      </c>
    </row>
    <row r="1849" spans="1:32" s="608" customFormat="1" x14ac:dyDescent="0.25">
      <c r="A1849" s="624"/>
      <c r="B1849" s="617">
        <v>39091003900</v>
      </c>
      <c r="C1849" s="617" t="s">
        <v>3517</v>
      </c>
      <c r="D1849" s="617" t="s">
        <v>69</v>
      </c>
      <c r="E1849" s="617" t="s">
        <v>1672</v>
      </c>
      <c r="F1849" s="617" t="s">
        <v>26</v>
      </c>
      <c r="G1849" s="624"/>
      <c r="O1849" s="616"/>
      <c r="P1849" s="616"/>
      <c r="Q1849" s="616"/>
      <c r="AA1849" s="624"/>
      <c r="AB1849" s="663">
        <v>39095002600</v>
      </c>
      <c r="AC1849" s="663" t="s">
        <v>6781</v>
      </c>
      <c r="AD1849" s="663" t="s">
        <v>4941</v>
      </c>
      <c r="AE1849" s="663" t="s">
        <v>4939</v>
      </c>
      <c r="AF1849" s="663" t="s">
        <v>4962</v>
      </c>
    </row>
    <row r="1850" spans="1:32" s="608" customFormat="1" x14ac:dyDescent="0.25">
      <c r="A1850" s="624"/>
      <c r="B1850" s="617">
        <v>39091004000</v>
      </c>
      <c r="C1850" s="617" t="s">
        <v>3518</v>
      </c>
      <c r="D1850" s="617" t="s">
        <v>69</v>
      </c>
      <c r="E1850" s="617" t="s">
        <v>1672</v>
      </c>
      <c r="F1850" s="617" t="s">
        <v>26</v>
      </c>
      <c r="G1850" s="624"/>
      <c r="O1850" s="616"/>
      <c r="P1850" s="616"/>
      <c r="Q1850" s="616"/>
      <c r="AA1850" s="624"/>
      <c r="AB1850" s="663">
        <v>39095002700</v>
      </c>
      <c r="AC1850" s="663" t="s">
        <v>6782</v>
      </c>
      <c r="AD1850" s="663" t="s">
        <v>4927</v>
      </c>
      <c r="AE1850" s="663" t="s">
        <v>4931</v>
      </c>
      <c r="AF1850" s="663" t="s">
        <v>4962</v>
      </c>
    </row>
    <row r="1851" spans="1:32" s="608" customFormat="1" x14ac:dyDescent="0.25">
      <c r="A1851" s="624"/>
      <c r="B1851" s="617">
        <v>39091004100</v>
      </c>
      <c r="C1851" s="617" t="s">
        <v>3519</v>
      </c>
      <c r="D1851" s="617" t="s">
        <v>69</v>
      </c>
      <c r="E1851" s="617" t="s">
        <v>1672</v>
      </c>
      <c r="F1851" s="617" t="s">
        <v>26</v>
      </c>
      <c r="G1851" s="624"/>
      <c r="O1851" s="616"/>
      <c r="P1851" s="616"/>
      <c r="Q1851" s="616"/>
      <c r="AA1851" s="624"/>
      <c r="AB1851" s="663">
        <v>39095002800</v>
      </c>
      <c r="AC1851" s="663" t="s">
        <v>6783</v>
      </c>
      <c r="AD1851" s="663" t="s">
        <v>4950</v>
      </c>
      <c r="AE1851" s="663" t="s">
        <v>4928</v>
      </c>
      <c r="AF1851" s="663" t="s">
        <v>4962</v>
      </c>
    </row>
    <row r="1852" spans="1:32" s="608" customFormat="1" x14ac:dyDescent="0.25">
      <c r="A1852" s="624"/>
      <c r="B1852" s="617">
        <v>39091004200</v>
      </c>
      <c r="C1852" s="617" t="s">
        <v>3520</v>
      </c>
      <c r="D1852" s="617" t="s">
        <v>69</v>
      </c>
      <c r="E1852" s="617" t="s">
        <v>1672</v>
      </c>
      <c r="F1852" s="617" t="s">
        <v>24</v>
      </c>
      <c r="G1852" s="624"/>
      <c r="O1852" s="616"/>
      <c r="P1852" s="616"/>
      <c r="Q1852" s="616"/>
      <c r="AA1852" s="624"/>
      <c r="AB1852" s="663">
        <v>39095002900</v>
      </c>
      <c r="AC1852" s="663" t="s">
        <v>6784</v>
      </c>
      <c r="AD1852" s="663" t="s">
        <v>4927</v>
      </c>
      <c r="AE1852" s="663" t="s">
        <v>5332</v>
      </c>
      <c r="AF1852" s="663" t="s">
        <v>4962</v>
      </c>
    </row>
    <row r="1853" spans="1:32" s="608" customFormat="1" x14ac:dyDescent="0.25">
      <c r="A1853" s="624"/>
      <c r="B1853" s="617">
        <v>39091004300</v>
      </c>
      <c r="C1853" s="617" t="s">
        <v>3521</v>
      </c>
      <c r="D1853" s="617" t="s">
        <v>69</v>
      </c>
      <c r="E1853" s="617" t="s">
        <v>1672</v>
      </c>
      <c r="F1853" s="617" t="s">
        <v>26</v>
      </c>
      <c r="G1853" s="624"/>
      <c r="O1853" s="616"/>
      <c r="P1853" s="616"/>
      <c r="Q1853" s="616"/>
      <c r="AA1853" s="624"/>
      <c r="AB1853" s="663">
        <v>39095003000</v>
      </c>
      <c r="AC1853" s="663" t="s">
        <v>6785</v>
      </c>
      <c r="AD1853" s="663" t="s">
        <v>4927</v>
      </c>
      <c r="AE1853" s="663" t="s">
        <v>4942</v>
      </c>
      <c r="AF1853" s="663" t="s">
        <v>4962</v>
      </c>
    </row>
    <row r="1854" spans="1:32" s="608" customFormat="1" x14ac:dyDescent="0.25">
      <c r="A1854" s="624"/>
      <c r="B1854" s="617">
        <v>39091004400</v>
      </c>
      <c r="C1854" s="617" t="s">
        <v>3522</v>
      </c>
      <c r="D1854" s="617" t="s">
        <v>69</v>
      </c>
      <c r="E1854" s="617" t="s">
        <v>1672</v>
      </c>
      <c r="F1854" s="617" t="s">
        <v>26</v>
      </c>
      <c r="G1854" s="624"/>
      <c r="O1854" s="616"/>
      <c r="P1854" s="616"/>
      <c r="Q1854" s="616"/>
      <c r="AA1854" s="624"/>
      <c r="AB1854" s="663">
        <v>39095003100</v>
      </c>
      <c r="AC1854" s="663" t="s">
        <v>6786</v>
      </c>
      <c r="AD1854" s="663" t="s">
        <v>4948</v>
      </c>
      <c r="AE1854" s="663" t="s">
        <v>4939</v>
      </c>
      <c r="AF1854" s="663" t="s">
        <v>4962</v>
      </c>
    </row>
    <row r="1855" spans="1:32" s="608" customFormat="1" x14ac:dyDescent="0.25">
      <c r="A1855" s="624"/>
      <c r="B1855" s="617">
        <v>39091004500</v>
      </c>
      <c r="C1855" s="617" t="s">
        <v>3523</v>
      </c>
      <c r="D1855" s="617" t="s">
        <v>69</v>
      </c>
      <c r="E1855" s="617" t="s">
        <v>1672</v>
      </c>
      <c r="F1855" s="617" t="s">
        <v>26</v>
      </c>
      <c r="G1855" s="624"/>
      <c r="O1855" s="616"/>
      <c r="P1855" s="616"/>
      <c r="Q1855" s="616"/>
      <c r="AA1855" s="624"/>
      <c r="AB1855" s="663">
        <v>39095003200</v>
      </c>
      <c r="AC1855" s="663" t="s">
        <v>6787</v>
      </c>
      <c r="AD1855" s="663" t="s">
        <v>4950</v>
      </c>
      <c r="AE1855" s="663" t="s">
        <v>4931</v>
      </c>
      <c r="AF1855" s="663" t="s">
        <v>4962</v>
      </c>
    </row>
    <row r="1856" spans="1:32" s="608" customFormat="1" x14ac:dyDescent="0.25">
      <c r="A1856" s="624"/>
      <c r="B1856" s="617">
        <v>39091004600</v>
      </c>
      <c r="C1856" s="617" t="s">
        <v>3524</v>
      </c>
      <c r="D1856" s="617" t="s">
        <v>69</v>
      </c>
      <c r="E1856" s="617" t="s">
        <v>1672</v>
      </c>
      <c r="F1856" s="617" t="s">
        <v>26</v>
      </c>
      <c r="G1856" s="624"/>
      <c r="O1856" s="616"/>
      <c r="P1856" s="616"/>
      <c r="Q1856" s="616"/>
      <c r="AA1856" s="624"/>
      <c r="AB1856" s="663">
        <v>39095003300</v>
      </c>
      <c r="AC1856" s="663" t="s">
        <v>6788</v>
      </c>
      <c r="AD1856" s="663" t="s">
        <v>4927</v>
      </c>
      <c r="AE1856" s="663" t="s">
        <v>4939</v>
      </c>
      <c r="AF1856" s="663" t="s">
        <v>4962</v>
      </c>
    </row>
    <row r="1857" spans="1:32" s="608" customFormat="1" x14ac:dyDescent="0.25">
      <c r="A1857" s="624"/>
      <c r="B1857" s="617">
        <v>39091004700</v>
      </c>
      <c r="C1857" s="617" t="s">
        <v>3525</v>
      </c>
      <c r="D1857" s="617" t="s">
        <v>69</v>
      </c>
      <c r="E1857" s="617" t="s">
        <v>1672</v>
      </c>
      <c r="F1857" s="617" t="s">
        <v>26</v>
      </c>
      <c r="G1857" s="624"/>
      <c r="O1857" s="616"/>
      <c r="P1857" s="616"/>
      <c r="Q1857" s="616"/>
      <c r="AA1857" s="624"/>
      <c r="AB1857" s="663">
        <v>39095003400</v>
      </c>
      <c r="AC1857" s="663" t="s">
        <v>6789</v>
      </c>
      <c r="AD1857" s="663" t="s">
        <v>4927</v>
      </c>
      <c r="AE1857" s="663" t="s">
        <v>4939</v>
      </c>
      <c r="AF1857" s="663" t="s">
        <v>4962</v>
      </c>
    </row>
    <row r="1858" spans="1:32" s="608" customFormat="1" x14ac:dyDescent="0.25">
      <c r="A1858" s="624"/>
      <c r="B1858" s="617">
        <v>39091004800</v>
      </c>
      <c r="C1858" s="617" t="s">
        <v>3526</v>
      </c>
      <c r="D1858" s="617" t="s">
        <v>69</v>
      </c>
      <c r="E1858" s="617" t="s">
        <v>1672</v>
      </c>
      <c r="F1858" s="617" t="s">
        <v>26</v>
      </c>
      <c r="G1858" s="624"/>
      <c r="O1858" s="616"/>
      <c r="P1858" s="616"/>
      <c r="Q1858" s="616"/>
      <c r="AA1858" s="624"/>
      <c r="AB1858" s="663">
        <v>39095003500</v>
      </c>
      <c r="AC1858" s="663" t="s">
        <v>6790</v>
      </c>
      <c r="AD1858" s="663" t="s">
        <v>4948</v>
      </c>
      <c r="AE1858" s="663" t="s">
        <v>4939</v>
      </c>
      <c r="AF1858" s="663" t="s">
        <v>4962</v>
      </c>
    </row>
    <row r="1859" spans="1:32" s="608" customFormat="1" x14ac:dyDescent="0.25">
      <c r="A1859" s="624"/>
      <c r="B1859" s="617">
        <v>39093010200</v>
      </c>
      <c r="C1859" s="617" t="s">
        <v>3527</v>
      </c>
      <c r="D1859" s="617" t="s">
        <v>70</v>
      </c>
      <c r="E1859" s="617" t="s">
        <v>4853</v>
      </c>
      <c r="F1859" s="617" t="s">
        <v>26</v>
      </c>
      <c r="G1859" s="624"/>
      <c r="O1859" s="616"/>
      <c r="P1859" s="616"/>
      <c r="Q1859" s="616"/>
      <c r="AA1859" s="624"/>
      <c r="AB1859" s="663">
        <v>39095003600</v>
      </c>
      <c r="AC1859" s="663" t="s">
        <v>6791</v>
      </c>
      <c r="AD1859" s="663" t="s">
        <v>4950</v>
      </c>
      <c r="AE1859" s="663" t="s">
        <v>4939</v>
      </c>
      <c r="AF1859" s="663" t="s">
        <v>4962</v>
      </c>
    </row>
    <row r="1860" spans="1:32" s="608" customFormat="1" x14ac:dyDescent="0.25">
      <c r="A1860" s="624"/>
      <c r="B1860" s="617">
        <v>39093010300</v>
      </c>
      <c r="C1860" s="617" t="s">
        <v>3528</v>
      </c>
      <c r="D1860" s="617" t="s">
        <v>70</v>
      </c>
      <c r="E1860" s="617" t="s">
        <v>4853</v>
      </c>
      <c r="F1860" s="617" t="s">
        <v>26</v>
      </c>
      <c r="G1860" s="624"/>
      <c r="O1860" s="616"/>
      <c r="P1860" s="616"/>
      <c r="Q1860" s="616"/>
      <c r="AA1860" s="624"/>
      <c r="AB1860" s="663">
        <v>39095003700</v>
      </c>
      <c r="AC1860" s="663" t="s">
        <v>6792</v>
      </c>
      <c r="AD1860" s="663" t="s">
        <v>4941</v>
      </c>
      <c r="AE1860" s="663" t="s">
        <v>4939</v>
      </c>
      <c r="AF1860" s="663" t="s">
        <v>4962</v>
      </c>
    </row>
    <row r="1861" spans="1:32" s="608" customFormat="1" x14ac:dyDescent="0.25">
      <c r="A1861" s="624"/>
      <c r="B1861" s="617">
        <v>39093010400</v>
      </c>
      <c r="C1861" s="617" t="s">
        <v>3529</v>
      </c>
      <c r="D1861" s="617" t="s">
        <v>70</v>
      </c>
      <c r="E1861" s="617" t="s">
        <v>4853</v>
      </c>
      <c r="F1861" s="617" t="s">
        <v>26</v>
      </c>
      <c r="G1861" s="624"/>
      <c r="O1861" s="616"/>
      <c r="P1861" s="616"/>
      <c r="Q1861" s="616"/>
      <c r="AA1861" s="624"/>
      <c r="AB1861" s="663">
        <v>39095003900</v>
      </c>
      <c r="AC1861" s="663" t="s">
        <v>6793</v>
      </c>
      <c r="AD1861" s="663" t="s">
        <v>4948</v>
      </c>
      <c r="AE1861" s="663" t="s">
        <v>4942</v>
      </c>
      <c r="AF1861" s="663" t="s">
        <v>4962</v>
      </c>
    </row>
    <row r="1862" spans="1:32" s="608" customFormat="1" x14ac:dyDescent="0.25">
      <c r="A1862" s="624"/>
      <c r="B1862" s="617">
        <v>39093013101</v>
      </c>
      <c r="C1862" s="617" t="s">
        <v>3530</v>
      </c>
      <c r="D1862" s="617" t="s">
        <v>70</v>
      </c>
      <c r="E1862" s="617" t="s">
        <v>4853</v>
      </c>
      <c r="F1862" s="617" t="s">
        <v>26</v>
      </c>
      <c r="G1862" s="624"/>
      <c r="O1862" s="616"/>
      <c r="P1862" s="616"/>
      <c r="Q1862" s="616"/>
      <c r="AA1862" s="624"/>
      <c r="AB1862" s="663">
        <v>39095004000</v>
      </c>
      <c r="AC1862" s="663" t="s">
        <v>6794</v>
      </c>
      <c r="AD1862" s="663" t="s">
        <v>4948</v>
      </c>
      <c r="AE1862" s="663" t="s">
        <v>4928</v>
      </c>
      <c r="AF1862" s="663" t="s">
        <v>4962</v>
      </c>
    </row>
    <row r="1863" spans="1:32" s="608" customFormat="1" x14ac:dyDescent="0.25">
      <c r="A1863" s="624"/>
      <c r="B1863" s="617">
        <v>39093013102</v>
      </c>
      <c r="C1863" s="617" t="s">
        <v>3531</v>
      </c>
      <c r="D1863" s="617" t="s">
        <v>70</v>
      </c>
      <c r="E1863" s="617" t="s">
        <v>4853</v>
      </c>
      <c r="F1863" s="617" t="s">
        <v>26</v>
      </c>
      <c r="G1863" s="624"/>
      <c r="O1863" s="616"/>
      <c r="P1863" s="616"/>
      <c r="Q1863" s="616"/>
      <c r="AA1863" s="624"/>
      <c r="AB1863" s="663">
        <v>39095004200</v>
      </c>
      <c r="AC1863" s="663" t="s">
        <v>6795</v>
      </c>
      <c r="AD1863" s="663" t="s">
        <v>4950</v>
      </c>
      <c r="AE1863" s="663" t="s">
        <v>4939</v>
      </c>
      <c r="AF1863" s="663" t="s">
        <v>4962</v>
      </c>
    </row>
    <row r="1864" spans="1:32" s="608" customFormat="1" x14ac:dyDescent="0.25">
      <c r="A1864" s="624"/>
      <c r="B1864" s="617">
        <v>39093013201</v>
      </c>
      <c r="C1864" s="617" t="s">
        <v>3532</v>
      </c>
      <c r="D1864" s="617" t="s">
        <v>70</v>
      </c>
      <c r="E1864" s="617" t="s">
        <v>4853</v>
      </c>
      <c r="F1864" s="617" t="s">
        <v>26</v>
      </c>
      <c r="G1864" s="624"/>
      <c r="O1864" s="616"/>
      <c r="P1864" s="616"/>
      <c r="Q1864" s="616"/>
      <c r="AA1864" s="624"/>
      <c r="AB1864" s="663">
        <v>39095004400</v>
      </c>
      <c r="AC1864" s="663" t="s">
        <v>6796</v>
      </c>
      <c r="AD1864" s="663" t="s">
        <v>4941</v>
      </c>
      <c r="AE1864" s="663" t="s">
        <v>4928</v>
      </c>
      <c r="AF1864" s="663" t="s">
        <v>4962</v>
      </c>
    </row>
    <row r="1865" spans="1:32" s="608" customFormat="1" x14ac:dyDescent="0.25">
      <c r="A1865" s="624"/>
      <c r="B1865" s="617">
        <v>39093013202</v>
      </c>
      <c r="C1865" s="617" t="s">
        <v>3533</v>
      </c>
      <c r="D1865" s="617" t="s">
        <v>70</v>
      </c>
      <c r="E1865" s="617" t="s">
        <v>4853</v>
      </c>
      <c r="F1865" s="617" t="s">
        <v>26</v>
      </c>
      <c r="G1865" s="624"/>
      <c r="O1865" s="616"/>
      <c r="P1865" s="616"/>
      <c r="Q1865" s="616"/>
      <c r="AA1865" s="624"/>
      <c r="AB1865" s="663">
        <v>39095004501</v>
      </c>
      <c r="AC1865" s="663" t="s">
        <v>6797</v>
      </c>
      <c r="AD1865" s="663" t="s">
        <v>4938</v>
      </c>
      <c r="AE1865" s="663" t="s">
        <v>4934</v>
      </c>
      <c r="AF1865" s="663" t="s">
        <v>4962</v>
      </c>
    </row>
    <row r="1866" spans="1:32" s="608" customFormat="1" x14ac:dyDescent="0.25">
      <c r="A1866" s="624"/>
      <c r="B1866" s="617">
        <v>39093021100</v>
      </c>
      <c r="C1866" s="617" t="s">
        <v>3534</v>
      </c>
      <c r="D1866" s="617" t="s">
        <v>70</v>
      </c>
      <c r="E1866" s="617" t="s">
        <v>4853</v>
      </c>
      <c r="F1866" s="617" t="s">
        <v>26</v>
      </c>
      <c r="G1866" s="624"/>
      <c r="O1866" s="616"/>
      <c r="P1866" s="616"/>
      <c r="Q1866" s="616"/>
      <c r="AA1866" s="624"/>
      <c r="AB1866" s="663">
        <v>39095004503</v>
      </c>
      <c r="AC1866" s="663" t="s">
        <v>6798</v>
      </c>
      <c r="AD1866" s="663" t="s">
        <v>4950</v>
      </c>
      <c r="AE1866" s="663" t="s">
        <v>4931</v>
      </c>
      <c r="AF1866" s="663" t="s">
        <v>4946</v>
      </c>
    </row>
    <row r="1867" spans="1:32" s="608" customFormat="1" x14ac:dyDescent="0.25">
      <c r="A1867" s="624"/>
      <c r="B1867" s="617">
        <v>39093021200</v>
      </c>
      <c r="C1867" s="617" t="s">
        <v>3535</v>
      </c>
      <c r="D1867" s="617" t="s">
        <v>70</v>
      </c>
      <c r="E1867" s="617" t="s">
        <v>4853</v>
      </c>
      <c r="F1867" s="617" t="s">
        <v>26</v>
      </c>
      <c r="G1867" s="624"/>
      <c r="O1867" s="616"/>
      <c r="P1867" s="616"/>
      <c r="Q1867" s="616"/>
      <c r="AA1867" s="624"/>
      <c r="AB1867" s="663">
        <v>39095004504</v>
      </c>
      <c r="AC1867" s="663" t="s">
        <v>6799</v>
      </c>
      <c r="AD1867" s="663" t="s">
        <v>4938</v>
      </c>
      <c r="AE1867" s="663" t="s">
        <v>4928</v>
      </c>
      <c r="AF1867" s="663" t="s">
        <v>4962</v>
      </c>
    </row>
    <row r="1868" spans="1:32" s="608" customFormat="1" x14ac:dyDescent="0.25">
      <c r="A1868" s="624"/>
      <c r="B1868" s="617">
        <v>39093022100</v>
      </c>
      <c r="C1868" s="617" t="s">
        <v>3536</v>
      </c>
      <c r="D1868" s="617" t="s">
        <v>70</v>
      </c>
      <c r="E1868" s="617" t="s">
        <v>4853</v>
      </c>
      <c r="F1868" s="617" t="s">
        <v>26</v>
      </c>
      <c r="G1868" s="624"/>
      <c r="O1868" s="616"/>
      <c r="P1868" s="616"/>
      <c r="Q1868" s="616"/>
      <c r="AA1868" s="624"/>
      <c r="AB1868" s="663">
        <v>39095004600</v>
      </c>
      <c r="AC1868" s="663" t="s">
        <v>6800</v>
      </c>
      <c r="AD1868" s="663" t="s">
        <v>4948</v>
      </c>
      <c r="AE1868" s="663" t="s">
        <v>4942</v>
      </c>
      <c r="AF1868" s="663" t="s">
        <v>4962</v>
      </c>
    </row>
    <row r="1869" spans="1:32" s="608" customFormat="1" x14ac:dyDescent="0.25">
      <c r="A1869" s="624"/>
      <c r="B1869" s="617">
        <v>39093022200</v>
      </c>
      <c r="C1869" s="617" t="s">
        <v>3537</v>
      </c>
      <c r="D1869" s="617" t="s">
        <v>70</v>
      </c>
      <c r="E1869" s="617" t="s">
        <v>4853</v>
      </c>
      <c r="F1869" s="617" t="s">
        <v>24</v>
      </c>
      <c r="G1869" s="624"/>
      <c r="O1869" s="616"/>
      <c r="P1869" s="616"/>
      <c r="Q1869" s="616"/>
      <c r="AA1869" s="624"/>
      <c r="AB1869" s="663">
        <v>39095004701</v>
      </c>
      <c r="AC1869" s="663" t="s">
        <v>6801</v>
      </c>
      <c r="AD1869" s="663" t="s">
        <v>4948</v>
      </c>
      <c r="AE1869" s="663" t="s">
        <v>4934</v>
      </c>
      <c r="AF1869" s="663" t="s">
        <v>4962</v>
      </c>
    </row>
    <row r="1870" spans="1:32" s="608" customFormat="1" x14ac:dyDescent="0.25">
      <c r="A1870" s="624"/>
      <c r="B1870" s="617">
        <v>39093022400</v>
      </c>
      <c r="C1870" s="617" t="s">
        <v>3538</v>
      </c>
      <c r="D1870" s="617" t="s">
        <v>70</v>
      </c>
      <c r="E1870" s="617" t="s">
        <v>4853</v>
      </c>
      <c r="F1870" s="617" t="s">
        <v>24</v>
      </c>
      <c r="G1870" s="624"/>
      <c r="O1870" s="616"/>
      <c r="P1870" s="616"/>
      <c r="Q1870" s="616"/>
      <c r="AA1870" s="624"/>
      <c r="AB1870" s="663">
        <v>39095004702</v>
      </c>
      <c r="AC1870" s="663" t="s">
        <v>6802</v>
      </c>
      <c r="AD1870" s="663" t="s">
        <v>4948</v>
      </c>
      <c r="AE1870" s="663" t="s">
        <v>4928</v>
      </c>
      <c r="AF1870" s="663" t="s">
        <v>4962</v>
      </c>
    </row>
    <row r="1871" spans="1:32" s="608" customFormat="1" x14ac:dyDescent="0.25">
      <c r="A1871" s="624"/>
      <c r="B1871" s="617">
        <v>39093022500</v>
      </c>
      <c r="C1871" s="617" t="s">
        <v>3539</v>
      </c>
      <c r="D1871" s="617" t="s">
        <v>70</v>
      </c>
      <c r="E1871" s="617" t="s">
        <v>4853</v>
      </c>
      <c r="F1871" s="617" t="s">
        <v>26</v>
      </c>
      <c r="G1871" s="624"/>
      <c r="O1871" s="616"/>
      <c r="P1871" s="616"/>
      <c r="Q1871" s="616"/>
      <c r="AA1871" s="624"/>
      <c r="AB1871" s="663">
        <v>39095004800</v>
      </c>
      <c r="AC1871" s="663" t="s">
        <v>6803</v>
      </c>
      <c r="AD1871" s="663" t="s">
        <v>4948</v>
      </c>
      <c r="AE1871" s="663" t="s">
        <v>4942</v>
      </c>
      <c r="AF1871" s="663" t="s">
        <v>4962</v>
      </c>
    </row>
    <row r="1872" spans="1:32" s="608" customFormat="1" x14ac:dyDescent="0.25">
      <c r="A1872" s="624"/>
      <c r="B1872" s="617">
        <v>39093022601</v>
      </c>
      <c r="C1872" s="617" t="s">
        <v>3540</v>
      </c>
      <c r="D1872" s="617" t="s">
        <v>70</v>
      </c>
      <c r="E1872" s="617" t="s">
        <v>4853</v>
      </c>
      <c r="F1872" s="617" t="s">
        <v>24</v>
      </c>
      <c r="G1872" s="624"/>
      <c r="O1872" s="616"/>
      <c r="P1872" s="616"/>
      <c r="Q1872" s="616"/>
      <c r="AA1872" s="624"/>
      <c r="AB1872" s="663">
        <v>39095004900</v>
      </c>
      <c r="AC1872" s="663" t="s">
        <v>6804</v>
      </c>
      <c r="AD1872" s="663" t="s">
        <v>4948</v>
      </c>
      <c r="AE1872" s="663" t="s">
        <v>4931</v>
      </c>
      <c r="AF1872" s="663" t="s">
        <v>4962</v>
      </c>
    </row>
    <row r="1873" spans="1:32" s="608" customFormat="1" x14ac:dyDescent="0.25">
      <c r="A1873" s="624"/>
      <c r="B1873" s="617">
        <v>39093022800</v>
      </c>
      <c r="C1873" s="617" t="s">
        <v>3541</v>
      </c>
      <c r="D1873" s="617" t="s">
        <v>70</v>
      </c>
      <c r="E1873" s="617" t="s">
        <v>4853</v>
      </c>
      <c r="F1873" s="617" t="s">
        <v>24</v>
      </c>
      <c r="G1873" s="624"/>
      <c r="O1873" s="616"/>
      <c r="P1873" s="616"/>
      <c r="Q1873" s="616"/>
      <c r="AA1873" s="624"/>
      <c r="AB1873" s="663">
        <v>39095005000</v>
      </c>
      <c r="AC1873" s="663" t="s">
        <v>6805</v>
      </c>
      <c r="AD1873" s="663" t="s">
        <v>4941</v>
      </c>
      <c r="AE1873" s="663" t="s">
        <v>4934</v>
      </c>
      <c r="AF1873" s="663" t="s">
        <v>4962</v>
      </c>
    </row>
    <row r="1874" spans="1:32" s="608" customFormat="1" x14ac:dyDescent="0.25">
      <c r="A1874" s="624"/>
      <c r="B1874" s="617">
        <v>39093023000</v>
      </c>
      <c r="C1874" s="617" t="s">
        <v>3542</v>
      </c>
      <c r="D1874" s="617" t="s">
        <v>70</v>
      </c>
      <c r="E1874" s="617" t="s">
        <v>4853</v>
      </c>
      <c r="F1874" s="617" t="s">
        <v>24</v>
      </c>
      <c r="G1874" s="624"/>
      <c r="O1874" s="616"/>
      <c r="P1874" s="616"/>
      <c r="Q1874" s="616"/>
      <c r="AA1874" s="624"/>
      <c r="AB1874" s="663">
        <v>39095005100</v>
      </c>
      <c r="AC1874" s="663" t="s">
        <v>6806</v>
      </c>
      <c r="AD1874" s="663" t="s">
        <v>4927</v>
      </c>
      <c r="AE1874" s="663" t="s">
        <v>4928</v>
      </c>
      <c r="AF1874" s="663" t="s">
        <v>4962</v>
      </c>
    </row>
    <row r="1875" spans="1:32" s="608" customFormat="1" x14ac:dyDescent="0.25">
      <c r="A1875" s="624"/>
      <c r="B1875" s="617">
        <v>39093023100</v>
      </c>
      <c r="C1875" s="617" t="s">
        <v>3543</v>
      </c>
      <c r="D1875" s="617" t="s">
        <v>70</v>
      </c>
      <c r="E1875" s="617" t="s">
        <v>4853</v>
      </c>
      <c r="F1875" s="617" t="s">
        <v>24</v>
      </c>
      <c r="G1875" s="624"/>
      <c r="O1875" s="616"/>
      <c r="P1875" s="616"/>
      <c r="Q1875" s="616"/>
      <c r="AA1875" s="624"/>
      <c r="AB1875" s="663">
        <v>39095005200</v>
      </c>
      <c r="AC1875" s="663" t="s">
        <v>6807</v>
      </c>
      <c r="AD1875" s="663" t="s">
        <v>4941</v>
      </c>
      <c r="AE1875" s="663" t="s">
        <v>4928</v>
      </c>
      <c r="AF1875" s="663" t="s">
        <v>4962</v>
      </c>
    </row>
    <row r="1876" spans="1:32" s="608" customFormat="1" x14ac:dyDescent="0.25">
      <c r="A1876" s="624"/>
      <c r="B1876" s="617">
        <v>39093023200</v>
      </c>
      <c r="C1876" s="617" t="s">
        <v>3544</v>
      </c>
      <c r="D1876" s="617" t="s">
        <v>70</v>
      </c>
      <c r="E1876" s="617" t="s">
        <v>4853</v>
      </c>
      <c r="F1876" s="617" t="s">
        <v>24</v>
      </c>
      <c r="G1876" s="624"/>
      <c r="O1876" s="616"/>
      <c r="P1876" s="616"/>
      <c r="Q1876" s="616"/>
      <c r="AA1876" s="624"/>
      <c r="AB1876" s="663">
        <v>39095005300</v>
      </c>
      <c r="AC1876" s="663" t="s">
        <v>6808</v>
      </c>
      <c r="AD1876" s="663" t="s">
        <v>4941</v>
      </c>
      <c r="AE1876" s="663" t="s">
        <v>4942</v>
      </c>
      <c r="AF1876" s="663" t="s">
        <v>4962</v>
      </c>
    </row>
    <row r="1877" spans="1:32" s="608" customFormat="1" x14ac:dyDescent="0.25">
      <c r="A1877" s="624"/>
      <c r="B1877" s="617">
        <v>39093023300</v>
      </c>
      <c r="C1877" s="617" t="s">
        <v>3545</v>
      </c>
      <c r="D1877" s="617" t="s">
        <v>70</v>
      </c>
      <c r="E1877" s="617" t="s">
        <v>4853</v>
      </c>
      <c r="F1877" s="617" t="s">
        <v>24</v>
      </c>
      <c r="G1877" s="624"/>
      <c r="O1877" s="616"/>
      <c r="P1877" s="616"/>
      <c r="Q1877" s="616"/>
      <c r="AA1877" s="624"/>
      <c r="AB1877" s="663">
        <v>39095005400</v>
      </c>
      <c r="AC1877" s="663" t="s">
        <v>6809</v>
      </c>
      <c r="AD1877" s="663" t="s">
        <v>4927</v>
      </c>
      <c r="AE1877" s="663" t="s">
        <v>4931</v>
      </c>
      <c r="AF1877" s="663" t="s">
        <v>4962</v>
      </c>
    </row>
    <row r="1878" spans="1:32" s="608" customFormat="1" x14ac:dyDescent="0.25">
      <c r="A1878" s="624"/>
      <c r="B1878" s="617">
        <v>39093023400</v>
      </c>
      <c r="C1878" s="617" t="s">
        <v>3546</v>
      </c>
      <c r="D1878" s="617" t="s">
        <v>70</v>
      </c>
      <c r="E1878" s="617" t="s">
        <v>4853</v>
      </c>
      <c r="F1878" s="617" t="s">
        <v>26</v>
      </c>
      <c r="G1878" s="624"/>
      <c r="O1878" s="616"/>
      <c r="P1878" s="616"/>
      <c r="Q1878" s="616"/>
      <c r="AA1878" s="624"/>
      <c r="AB1878" s="663">
        <v>39095005501</v>
      </c>
      <c r="AC1878" s="663" t="s">
        <v>6810</v>
      </c>
      <c r="AD1878" s="663" t="s">
        <v>4927</v>
      </c>
      <c r="AE1878" s="663" t="s">
        <v>4934</v>
      </c>
      <c r="AF1878" s="663" t="s">
        <v>4946</v>
      </c>
    </row>
    <row r="1879" spans="1:32" s="608" customFormat="1" x14ac:dyDescent="0.25">
      <c r="A1879" s="624"/>
      <c r="B1879" s="617">
        <v>39093023500</v>
      </c>
      <c r="C1879" s="617" t="s">
        <v>3547</v>
      </c>
      <c r="D1879" s="617" t="s">
        <v>70</v>
      </c>
      <c r="E1879" s="617" t="s">
        <v>4853</v>
      </c>
      <c r="F1879" s="617" t="s">
        <v>26</v>
      </c>
      <c r="G1879" s="624"/>
      <c r="O1879" s="616"/>
      <c r="P1879" s="616"/>
      <c r="Q1879" s="616"/>
      <c r="AA1879" s="624"/>
      <c r="AB1879" s="663">
        <v>39095005502</v>
      </c>
      <c r="AC1879" s="663" t="s">
        <v>6811</v>
      </c>
      <c r="AD1879" s="663" t="s">
        <v>4950</v>
      </c>
      <c r="AE1879" s="663" t="s">
        <v>4942</v>
      </c>
      <c r="AF1879" s="663" t="s">
        <v>4946</v>
      </c>
    </row>
    <row r="1880" spans="1:32" s="608" customFormat="1" x14ac:dyDescent="0.25">
      <c r="A1880" s="624"/>
      <c r="B1880" s="617">
        <v>39093023600</v>
      </c>
      <c r="C1880" s="617" t="s">
        <v>3548</v>
      </c>
      <c r="D1880" s="617" t="s">
        <v>70</v>
      </c>
      <c r="E1880" s="617" t="s">
        <v>4853</v>
      </c>
      <c r="F1880" s="617" t="s">
        <v>26</v>
      </c>
      <c r="G1880" s="624"/>
      <c r="O1880" s="616"/>
      <c r="P1880" s="616"/>
      <c r="Q1880" s="616"/>
      <c r="AA1880" s="624"/>
      <c r="AB1880" s="663">
        <v>39095005503</v>
      </c>
      <c r="AC1880" s="663" t="s">
        <v>6812</v>
      </c>
      <c r="AD1880" s="663" t="s">
        <v>4950</v>
      </c>
      <c r="AE1880" s="663" t="s">
        <v>4942</v>
      </c>
      <c r="AF1880" s="663" t="s">
        <v>4946</v>
      </c>
    </row>
    <row r="1881" spans="1:32" s="608" customFormat="1" x14ac:dyDescent="0.25">
      <c r="A1881" s="624"/>
      <c r="B1881" s="617">
        <v>39093023900</v>
      </c>
      <c r="C1881" s="617" t="s">
        <v>3549</v>
      </c>
      <c r="D1881" s="617" t="s">
        <v>70</v>
      </c>
      <c r="E1881" s="617" t="s">
        <v>4853</v>
      </c>
      <c r="F1881" s="617" t="s">
        <v>26</v>
      </c>
      <c r="G1881" s="624"/>
      <c r="O1881" s="616"/>
      <c r="P1881" s="616"/>
      <c r="Q1881" s="616"/>
      <c r="AA1881" s="624"/>
      <c r="AB1881" s="663">
        <v>39095005600</v>
      </c>
      <c r="AC1881" s="663" t="s">
        <v>6813</v>
      </c>
      <c r="AD1881" s="663" t="s">
        <v>4948</v>
      </c>
      <c r="AE1881" s="663" t="s">
        <v>4942</v>
      </c>
      <c r="AF1881" s="663" t="s">
        <v>4946</v>
      </c>
    </row>
    <row r="1882" spans="1:32" s="608" customFormat="1" x14ac:dyDescent="0.25">
      <c r="A1882" s="624"/>
      <c r="B1882" s="617">
        <v>39093024000</v>
      </c>
      <c r="C1882" s="617" t="s">
        <v>3550</v>
      </c>
      <c r="D1882" s="617" t="s">
        <v>70</v>
      </c>
      <c r="E1882" s="617" t="s">
        <v>4853</v>
      </c>
      <c r="F1882" s="617" t="s">
        <v>24</v>
      </c>
      <c r="G1882" s="624"/>
      <c r="O1882" s="616"/>
      <c r="P1882" s="616"/>
      <c r="Q1882" s="616"/>
      <c r="AA1882" s="624"/>
      <c r="AB1882" s="663">
        <v>39095005701</v>
      </c>
      <c r="AC1882" s="663" t="s">
        <v>6814</v>
      </c>
      <c r="AD1882" s="663" t="s">
        <v>4927</v>
      </c>
      <c r="AE1882" s="663" t="s">
        <v>4931</v>
      </c>
      <c r="AF1882" s="663" t="s">
        <v>4946</v>
      </c>
    </row>
    <row r="1883" spans="1:32" s="608" customFormat="1" x14ac:dyDescent="0.25">
      <c r="A1883" s="624"/>
      <c r="B1883" s="617">
        <v>39093024100</v>
      </c>
      <c r="C1883" s="617" t="s">
        <v>3551</v>
      </c>
      <c r="D1883" s="617" t="s">
        <v>70</v>
      </c>
      <c r="E1883" s="617" t="s">
        <v>4853</v>
      </c>
      <c r="F1883" s="617" t="s">
        <v>26</v>
      </c>
      <c r="G1883" s="624"/>
      <c r="O1883" s="616"/>
      <c r="P1883" s="616"/>
      <c r="Q1883" s="616"/>
      <c r="AA1883" s="624"/>
      <c r="AB1883" s="663">
        <v>39095005702</v>
      </c>
      <c r="AC1883" s="663" t="s">
        <v>6815</v>
      </c>
      <c r="AD1883" s="663" t="s">
        <v>4927</v>
      </c>
      <c r="AE1883" s="663" t="s">
        <v>4931</v>
      </c>
      <c r="AF1883" s="663" t="s">
        <v>4946</v>
      </c>
    </row>
    <row r="1884" spans="1:32" s="608" customFormat="1" x14ac:dyDescent="0.25">
      <c r="A1884" s="624"/>
      <c r="B1884" s="617">
        <v>39093024200</v>
      </c>
      <c r="C1884" s="617" t="s">
        <v>3552</v>
      </c>
      <c r="D1884" s="617" t="s">
        <v>70</v>
      </c>
      <c r="E1884" s="617" t="s">
        <v>4853</v>
      </c>
      <c r="F1884" s="617" t="s">
        <v>26</v>
      </c>
      <c r="G1884" s="624"/>
      <c r="O1884" s="616"/>
      <c r="P1884" s="616"/>
      <c r="Q1884" s="616"/>
      <c r="AA1884" s="624"/>
      <c r="AB1884" s="663">
        <v>39095005703</v>
      </c>
      <c r="AC1884" s="663" t="s">
        <v>6816</v>
      </c>
      <c r="AD1884" s="663" t="s">
        <v>4941</v>
      </c>
      <c r="AE1884" s="663" t="s">
        <v>4939</v>
      </c>
      <c r="AF1884" s="663" t="s">
        <v>4962</v>
      </c>
    </row>
    <row r="1885" spans="1:32" s="608" customFormat="1" x14ac:dyDescent="0.25">
      <c r="A1885" s="624"/>
      <c r="B1885" s="617">
        <v>39093028100</v>
      </c>
      <c r="C1885" s="617" t="s">
        <v>3553</v>
      </c>
      <c r="D1885" s="617" t="s">
        <v>70</v>
      </c>
      <c r="E1885" s="617" t="s">
        <v>4853</v>
      </c>
      <c r="F1885" s="617" t="s">
        <v>26</v>
      </c>
      <c r="G1885" s="624"/>
      <c r="O1885" s="616"/>
      <c r="P1885" s="616"/>
      <c r="Q1885" s="616"/>
      <c r="AA1885" s="624"/>
      <c r="AB1885" s="663">
        <v>39095005801</v>
      </c>
      <c r="AC1885" s="663" t="s">
        <v>6817</v>
      </c>
      <c r="AD1885" s="663" t="s">
        <v>4950</v>
      </c>
      <c r="AE1885" s="663" t="s">
        <v>4934</v>
      </c>
      <c r="AF1885" s="663" t="s">
        <v>4946</v>
      </c>
    </row>
    <row r="1886" spans="1:32" s="608" customFormat="1" x14ac:dyDescent="0.25">
      <c r="A1886" s="624"/>
      <c r="B1886" s="617">
        <v>39093030101</v>
      </c>
      <c r="C1886" s="617" t="s">
        <v>3554</v>
      </c>
      <c r="D1886" s="617" t="s">
        <v>70</v>
      </c>
      <c r="E1886" s="617" t="s">
        <v>4853</v>
      </c>
      <c r="F1886" s="617" t="s">
        <v>26</v>
      </c>
      <c r="G1886" s="624"/>
      <c r="O1886" s="616"/>
      <c r="P1886" s="616"/>
      <c r="Q1886" s="616"/>
      <c r="AA1886" s="624"/>
      <c r="AB1886" s="663">
        <v>39095005802</v>
      </c>
      <c r="AC1886" s="663" t="s">
        <v>6818</v>
      </c>
      <c r="AD1886" s="663" t="s">
        <v>4941</v>
      </c>
      <c r="AE1886" s="663" t="s">
        <v>4928</v>
      </c>
      <c r="AF1886" s="663" t="s">
        <v>4962</v>
      </c>
    </row>
    <row r="1887" spans="1:32" s="608" customFormat="1" x14ac:dyDescent="0.25">
      <c r="A1887" s="624"/>
      <c r="B1887" s="617">
        <v>39093030102</v>
      </c>
      <c r="C1887" s="617" t="s">
        <v>3555</v>
      </c>
      <c r="D1887" s="617" t="s">
        <v>70</v>
      </c>
      <c r="E1887" s="617" t="s">
        <v>4853</v>
      </c>
      <c r="F1887" s="617" t="s">
        <v>26</v>
      </c>
      <c r="G1887" s="624"/>
      <c r="O1887" s="616"/>
      <c r="P1887" s="616"/>
      <c r="Q1887" s="616"/>
      <c r="AA1887" s="624"/>
      <c r="AB1887" s="663">
        <v>39095005901</v>
      </c>
      <c r="AC1887" s="663" t="s">
        <v>6819</v>
      </c>
      <c r="AD1887" s="663" t="s">
        <v>4948</v>
      </c>
      <c r="AE1887" s="663" t="s">
        <v>4934</v>
      </c>
      <c r="AF1887" s="663" t="s">
        <v>4946</v>
      </c>
    </row>
    <row r="1888" spans="1:32" s="608" customFormat="1" x14ac:dyDescent="0.25">
      <c r="A1888" s="624"/>
      <c r="B1888" s="617">
        <v>39093050100</v>
      </c>
      <c r="C1888" s="617" t="s">
        <v>3556</v>
      </c>
      <c r="D1888" s="617" t="s">
        <v>70</v>
      </c>
      <c r="E1888" s="617" t="s">
        <v>4853</v>
      </c>
      <c r="F1888" s="617" t="s">
        <v>26</v>
      </c>
      <c r="G1888" s="624"/>
      <c r="O1888" s="616"/>
      <c r="P1888" s="616"/>
      <c r="Q1888" s="616"/>
      <c r="AA1888" s="624"/>
      <c r="AB1888" s="663">
        <v>39095005902</v>
      </c>
      <c r="AC1888" s="663" t="s">
        <v>6820</v>
      </c>
      <c r="AD1888" s="663" t="s">
        <v>4938</v>
      </c>
      <c r="AE1888" s="663" t="s">
        <v>4939</v>
      </c>
      <c r="AF1888" s="663" t="s">
        <v>4962</v>
      </c>
    </row>
    <row r="1889" spans="1:32" s="608" customFormat="1" x14ac:dyDescent="0.25">
      <c r="A1889" s="624"/>
      <c r="B1889" s="617">
        <v>39093050200</v>
      </c>
      <c r="C1889" s="617" t="s">
        <v>3557</v>
      </c>
      <c r="D1889" s="617" t="s">
        <v>70</v>
      </c>
      <c r="E1889" s="617" t="s">
        <v>4853</v>
      </c>
      <c r="F1889" s="617" t="s">
        <v>26</v>
      </c>
      <c r="G1889" s="624"/>
      <c r="O1889" s="616"/>
      <c r="P1889" s="616"/>
      <c r="Q1889" s="616"/>
      <c r="AA1889" s="624"/>
      <c r="AB1889" s="663">
        <v>39095006000</v>
      </c>
      <c r="AC1889" s="663" t="s">
        <v>6821</v>
      </c>
      <c r="AD1889" s="663" t="s">
        <v>4941</v>
      </c>
      <c r="AE1889" s="663" t="s">
        <v>4939</v>
      </c>
      <c r="AF1889" s="663" t="s">
        <v>4946</v>
      </c>
    </row>
    <row r="1890" spans="1:32" s="608" customFormat="1" x14ac:dyDescent="0.25">
      <c r="A1890" s="624"/>
      <c r="B1890" s="617">
        <v>39093050301</v>
      </c>
      <c r="C1890" s="617" t="s">
        <v>3558</v>
      </c>
      <c r="D1890" s="617" t="s">
        <v>70</v>
      </c>
      <c r="E1890" s="617" t="s">
        <v>4853</v>
      </c>
      <c r="F1890" s="617" t="s">
        <v>26</v>
      </c>
      <c r="G1890" s="624"/>
      <c r="O1890" s="616"/>
      <c r="P1890" s="616"/>
      <c r="Q1890" s="616"/>
      <c r="AA1890" s="624"/>
      <c r="AB1890" s="663">
        <v>39095006100</v>
      </c>
      <c r="AC1890" s="663" t="s">
        <v>6822</v>
      </c>
      <c r="AD1890" s="663" t="s">
        <v>4938</v>
      </c>
      <c r="AE1890" s="663" t="s">
        <v>4928</v>
      </c>
      <c r="AF1890" s="663" t="s">
        <v>4962</v>
      </c>
    </row>
    <row r="1891" spans="1:32" s="608" customFormat="1" x14ac:dyDescent="0.25">
      <c r="A1891" s="624"/>
      <c r="B1891" s="617">
        <v>39093050302</v>
      </c>
      <c r="C1891" s="617" t="s">
        <v>3559</v>
      </c>
      <c r="D1891" s="617" t="s">
        <v>70</v>
      </c>
      <c r="E1891" s="617" t="s">
        <v>4853</v>
      </c>
      <c r="F1891" s="617" t="s">
        <v>26</v>
      </c>
      <c r="G1891" s="624"/>
      <c r="O1891" s="616"/>
      <c r="P1891" s="616"/>
      <c r="Q1891" s="616"/>
      <c r="AA1891" s="624"/>
      <c r="AB1891" s="663">
        <v>39095006200</v>
      </c>
      <c r="AC1891" s="663" t="s">
        <v>6823</v>
      </c>
      <c r="AD1891" s="663" t="s">
        <v>4938</v>
      </c>
      <c r="AE1891" s="663" t="s">
        <v>4942</v>
      </c>
      <c r="AF1891" s="663" t="s">
        <v>4962</v>
      </c>
    </row>
    <row r="1892" spans="1:32" s="608" customFormat="1" x14ac:dyDescent="0.25">
      <c r="A1892" s="624"/>
      <c r="B1892" s="617">
        <v>39093050400</v>
      </c>
      <c r="C1892" s="617" t="s">
        <v>3560</v>
      </c>
      <c r="D1892" s="617" t="s">
        <v>70</v>
      </c>
      <c r="E1892" s="617" t="s">
        <v>4853</v>
      </c>
      <c r="F1892" s="617" t="s">
        <v>26</v>
      </c>
      <c r="G1892" s="624"/>
      <c r="O1892" s="616"/>
      <c r="P1892" s="616"/>
      <c r="Q1892" s="616"/>
      <c r="AA1892" s="624"/>
      <c r="AB1892" s="663">
        <v>39095006300</v>
      </c>
      <c r="AC1892" s="663" t="s">
        <v>6824</v>
      </c>
      <c r="AD1892" s="663" t="s">
        <v>4938</v>
      </c>
      <c r="AE1892" s="663" t="s">
        <v>4942</v>
      </c>
      <c r="AF1892" s="663" t="s">
        <v>4962</v>
      </c>
    </row>
    <row r="1893" spans="1:32" s="608" customFormat="1" x14ac:dyDescent="0.25">
      <c r="A1893" s="624"/>
      <c r="B1893" s="617">
        <v>39093057100</v>
      </c>
      <c r="C1893" s="617" t="s">
        <v>3561</v>
      </c>
      <c r="D1893" s="617" t="s">
        <v>70</v>
      </c>
      <c r="E1893" s="617" t="s">
        <v>4853</v>
      </c>
      <c r="F1893" s="617" t="s">
        <v>26</v>
      </c>
      <c r="G1893" s="624"/>
      <c r="O1893" s="616"/>
      <c r="P1893" s="616"/>
      <c r="Q1893" s="616"/>
      <c r="AA1893" s="624"/>
      <c r="AB1893" s="663">
        <v>39095006400</v>
      </c>
      <c r="AC1893" s="663" t="s">
        <v>6825</v>
      </c>
      <c r="AD1893" s="663" t="s">
        <v>4938</v>
      </c>
      <c r="AE1893" s="663" t="s">
        <v>4939</v>
      </c>
      <c r="AF1893" s="663" t="s">
        <v>4962</v>
      </c>
    </row>
    <row r="1894" spans="1:32" s="608" customFormat="1" x14ac:dyDescent="0.25">
      <c r="A1894" s="624"/>
      <c r="B1894" s="617">
        <v>39093060100</v>
      </c>
      <c r="C1894" s="617" t="s">
        <v>3562</v>
      </c>
      <c r="D1894" s="617" t="s">
        <v>70</v>
      </c>
      <c r="E1894" s="617" t="s">
        <v>4853</v>
      </c>
      <c r="F1894" s="617" t="s">
        <v>26</v>
      </c>
      <c r="G1894" s="624"/>
      <c r="O1894" s="616"/>
      <c r="P1894" s="616"/>
      <c r="Q1894" s="616"/>
      <c r="AA1894" s="624"/>
      <c r="AB1894" s="663">
        <v>39095006500</v>
      </c>
      <c r="AC1894" s="663" t="s">
        <v>6826</v>
      </c>
      <c r="AD1894" s="663" t="s">
        <v>4938</v>
      </c>
      <c r="AE1894" s="663" t="s">
        <v>5006</v>
      </c>
      <c r="AF1894" s="663" t="s">
        <v>4962</v>
      </c>
    </row>
    <row r="1895" spans="1:32" s="608" customFormat="1" x14ac:dyDescent="0.25">
      <c r="A1895" s="624"/>
      <c r="B1895" s="617">
        <v>39093060200</v>
      </c>
      <c r="C1895" s="617" t="s">
        <v>3563</v>
      </c>
      <c r="D1895" s="617" t="s">
        <v>70</v>
      </c>
      <c r="E1895" s="617" t="s">
        <v>4853</v>
      </c>
      <c r="F1895" s="617" t="s">
        <v>26</v>
      </c>
      <c r="G1895" s="624"/>
      <c r="O1895" s="616"/>
      <c r="P1895" s="616"/>
      <c r="Q1895" s="616"/>
      <c r="AA1895" s="624"/>
      <c r="AB1895" s="663">
        <v>39095006600</v>
      </c>
      <c r="AC1895" s="663" t="s">
        <v>6827</v>
      </c>
      <c r="AD1895" s="663" t="s">
        <v>4948</v>
      </c>
      <c r="AE1895" s="663" t="s">
        <v>5006</v>
      </c>
      <c r="AF1895" s="663" t="s">
        <v>4962</v>
      </c>
    </row>
    <row r="1896" spans="1:32" s="608" customFormat="1" x14ac:dyDescent="0.25">
      <c r="A1896" s="624"/>
      <c r="B1896" s="617">
        <v>39093070101</v>
      </c>
      <c r="C1896" s="617" t="s">
        <v>3564</v>
      </c>
      <c r="D1896" s="617" t="s">
        <v>70</v>
      </c>
      <c r="E1896" s="617" t="s">
        <v>4853</v>
      </c>
      <c r="F1896" s="617" t="s">
        <v>26</v>
      </c>
      <c r="G1896" s="624"/>
      <c r="O1896" s="616"/>
      <c r="P1896" s="616"/>
      <c r="Q1896" s="616"/>
      <c r="AA1896" s="624"/>
      <c r="AB1896" s="663">
        <v>39095006700</v>
      </c>
      <c r="AC1896" s="663" t="s">
        <v>6828</v>
      </c>
      <c r="AD1896" s="663" t="s">
        <v>4941</v>
      </c>
      <c r="AE1896" s="663" t="s">
        <v>5006</v>
      </c>
      <c r="AF1896" s="663" t="s">
        <v>4962</v>
      </c>
    </row>
    <row r="1897" spans="1:32" s="608" customFormat="1" x14ac:dyDescent="0.25">
      <c r="A1897" s="624"/>
      <c r="B1897" s="617">
        <v>39093070102</v>
      </c>
      <c r="C1897" s="617" t="s">
        <v>3565</v>
      </c>
      <c r="D1897" s="617" t="s">
        <v>70</v>
      </c>
      <c r="E1897" s="617" t="s">
        <v>4853</v>
      </c>
      <c r="F1897" s="617" t="s">
        <v>26</v>
      </c>
      <c r="G1897" s="624"/>
      <c r="O1897" s="616"/>
      <c r="P1897" s="616"/>
      <c r="Q1897" s="616"/>
      <c r="AA1897" s="624"/>
      <c r="AB1897" s="663">
        <v>39095006800</v>
      </c>
      <c r="AC1897" s="663" t="s">
        <v>6829</v>
      </c>
      <c r="AD1897" s="663" t="s">
        <v>4927</v>
      </c>
      <c r="AE1897" s="663" t="s">
        <v>4934</v>
      </c>
      <c r="AF1897" s="663" t="s">
        <v>4946</v>
      </c>
    </row>
    <row r="1898" spans="1:32" s="608" customFormat="1" x14ac:dyDescent="0.25">
      <c r="A1898" s="624"/>
      <c r="B1898" s="617">
        <v>39093070200</v>
      </c>
      <c r="C1898" s="617" t="s">
        <v>3566</v>
      </c>
      <c r="D1898" s="617" t="s">
        <v>70</v>
      </c>
      <c r="E1898" s="617" t="s">
        <v>4853</v>
      </c>
      <c r="F1898" s="617" t="s">
        <v>26</v>
      </c>
      <c r="G1898" s="624"/>
      <c r="O1898" s="616"/>
      <c r="P1898" s="616"/>
      <c r="Q1898" s="616"/>
      <c r="AA1898" s="624"/>
      <c r="AB1898" s="663">
        <v>39095006900</v>
      </c>
      <c r="AC1898" s="663" t="s">
        <v>6830</v>
      </c>
      <c r="AD1898" s="663" t="s">
        <v>4948</v>
      </c>
      <c r="AE1898" s="663" t="s">
        <v>4928</v>
      </c>
      <c r="AF1898" s="663" t="s">
        <v>4946</v>
      </c>
    </row>
    <row r="1899" spans="1:32" s="608" customFormat="1" x14ac:dyDescent="0.25">
      <c r="A1899" s="624"/>
      <c r="B1899" s="617">
        <v>39093070300</v>
      </c>
      <c r="C1899" s="617" t="s">
        <v>3567</v>
      </c>
      <c r="D1899" s="617" t="s">
        <v>70</v>
      </c>
      <c r="E1899" s="617" t="s">
        <v>4853</v>
      </c>
      <c r="F1899" s="617" t="s">
        <v>26</v>
      </c>
      <c r="G1899" s="624"/>
      <c r="O1899" s="616"/>
      <c r="P1899" s="616"/>
      <c r="Q1899" s="616"/>
      <c r="AA1899" s="624"/>
      <c r="AB1899" s="663">
        <v>39095007001</v>
      </c>
      <c r="AC1899" s="663" t="s">
        <v>6831</v>
      </c>
      <c r="AD1899" s="663" t="s">
        <v>4941</v>
      </c>
      <c r="AE1899" s="663" t="s">
        <v>4939</v>
      </c>
      <c r="AF1899" s="663" t="s">
        <v>4946</v>
      </c>
    </row>
    <row r="1900" spans="1:32" s="608" customFormat="1" x14ac:dyDescent="0.25">
      <c r="A1900" s="624"/>
      <c r="B1900" s="617">
        <v>39093070400</v>
      </c>
      <c r="C1900" s="617" t="s">
        <v>3568</v>
      </c>
      <c r="D1900" s="617" t="s">
        <v>70</v>
      </c>
      <c r="E1900" s="617" t="s">
        <v>4853</v>
      </c>
      <c r="F1900" s="617" t="s">
        <v>24</v>
      </c>
      <c r="G1900" s="624"/>
      <c r="O1900" s="616"/>
      <c r="P1900" s="616"/>
      <c r="Q1900" s="616"/>
      <c r="AA1900" s="624"/>
      <c r="AB1900" s="663">
        <v>39095007002</v>
      </c>
      <c r="AC1900" s="663" t="s">
        <v>6832</v>
      </c>
      <c r="AD1900" s="663" t="s">
        <v>4941</v>
      </c>
      <c r="AE1900" s="663" t="s">
        <v>4934</v>
      </c>
      <c r="AF1900" s="663" t="s">
        <v>4946</v>
      </c>
    </row>
    <row r="1901" spans="1:32" s="608" customFormat="1" x14ac:dyDescent="0.25">
      <c r="A1901" s="624"/>
      <c r="B1901" s="617">
        <v>39093070500</v>
      </c>
      <c r="C1901" s="617" t="s">
        <v>3569</v>
      </c>
      <c r="D1901" s="617" t="s">
        <v>70</v>
      </c>
      <c r="E1901" s="617" t="s">
        <v>4853</v>
      </c>
      <c r="F1901" s="617" t="s">
        <v>24</v>
      </c>
      <c r="G1901" s="624"/>
      <c r="O1901" s="616"/>
      <c r="P1901" s="616"/>
      <c r="Q1901" s="616"/>
      <c r="AA1901" s="624"/>
      <c r="AB1901" s="663">
        <v>39095007101</v>
      </c>
      <c r="AC1901" s="663" t="s">
        <v>6833</v>
      </c>
      <c r="AD1901" s="663" t="s">
        <v>4941</v>
      </c>
      <c r="AE1901" s="663" t="s">
        <v>4931</v>
      </c>
      <c r="AF1901" s="663" t="s">
        <v>4946</v>
      </c>
    </row>
    <row r="1902" spans="1:32" s="608" customFormat="1" x14ac:dyDescent="0.25">
      <c r="A1902" s="624"/>
      <c r="B1902" s="617">
        <v>39093070600</v>
      </c>
      <c r="C1902" s="617" t="s">
        <v>3570</v>
      </c>
      <c r="D1902" s="617" t="s">
        <v>70</v>
      </c>
      <c r="E1902" s="617" t="s">
        <v>4853</v>
      </c>
      <c r="F1902" s="617" t="s">
        <v>26</v>
      </c>
      <c r="G1902" s="624"/>
      <c r="O1902" s="616"/>
      <c r="P1902" s="616"/>
      <c r="Q1902" s="616"/>
      <c r="AA1902" s="624"/>
      <c r="AB1902" s="663">
        <v>39095007102</v>
      </c>
      <c r="AC1902" s="663" t="s">
        <v>6834</v>
      </c>
      <c r="AD1902" s="663" t="s">
        <v>4941</v>
      </c>
      <c r="AE1902" s="663" t="s">
        <v>4942</v>
      </c>
      <c r="AF1902" s="663" t="s">
        <v>4946</v>
      </c>
    </row>
    <row r="1903" spans="1:32" s="608" customFormat="1" x14ac:dyDescent="0.25">
      <c r="A1903" s="624"/>
      <c r="B1903" s="617">
        <v>39093070700</v>
      </c>
      <c r="C1903" s="617" t="s">
        <v>3571</v>
      </c>
      <c r="D1903" s="617" t="s">
        <v>70</v>
      </c>
      <c r="E1903" s="617" t="s">
        <v>4853</v>
      </c>
      <c r="F1903" s="617" t="s">
        <v>26</v>
      </c>
      <c r="G1903" s="624"/>
      <c r="O1903" s="616"/>
      <c r="P1903" s="616"/>
      <c r="Q1903" s="616"/>
      <c r="AA1903" s="624"/>
      <c r="AB1903" s="663">
        <v>39095007202</v>
      </c>
      <c r="AC1903" s="663" t="s">
        <v>6835</v>
      </c>
      <c r="AD1903" s="663" t="s">
        <v>4948</v>
      </c>
      <c r="AE1903" s="663" t="s">
        <v>4931</v>
      </c>
      <c r="AF1903" s="663" t="s">
        <v>4946</v>
      </c>
    </row>
    <row r="1904" spans="1:32" s="608" customFormat="1" x14ac:dyDescent="0.25">
      <c r="A1904" s="624"/>
      <c r="B1904" s="617">
        <v>39093070901</v>
      </c>
      <c r="C1904" s="617" t="s">
        <v>3572</v>
      </c>
      <c r="D1904" s="617" t="s">
        <v>70</v>
      </c>
      <c r="E1904" s="617" t="s">
        <v>4853</v>
      </c>
      <c r="F1904" s="617" t="s">
        <v>24</v>
      </c>
      <c r="G1904" s="624"/>
      <c r="O1904" s="616"/>
      <c r="P1904" s="616"/>
      <c r="Q1904" s="616"/>
      <c r="AA1904" s="624"/>
      <c r="AB1904" s="663">
        <v>39095007203</v>
      </c>
      <c r="AC1904" s="663" t="s">
        <v>6836</v>
      </c>
      <c r="AD1904" s="663" t="s">
        <v>4948</v>
      </c>
      <c r="AE1904" s="663" t="s">
        <v>4934</v>
      </c>
      <c r="AF1904" s="663" t="s">
        <v>4946</v>
      </c>
    </row>
    <row r="1905" spans="1:32" s="608" customFormat="1" x14ac:dyDescent="0.25">
      <c r="A1905" s="624"/>
      <c r="B1905" s="617">
        <v>39093070902</v>
      </c>
      <c r="C1905" s="617" t="s">
        <v>3573</v>
      </c>
      <c r="D1905" s="617" t="s">
        <v>70</v>
      </c>
      <c r="E1905" s="617" t="s">
        <v>4853</v>
      </c>
      <c r="F1905" s="617" t="s">
        <v>26</v>
      </c>
      <c r="G1905" s="624"/>
      <c r="O1905" s="616"/>
      <c r="P1905" s="616"/>
      <c r="Q1905" s="616"/>
      <c r="AA1905" s="624"/>
      <c r="AB1905" s="663">
        <v>39095007204</v>
      </c>
      <c r="AC1905" s="663" t="s">
        <v>6837</v>
      </c>
      <c r="AD1905" s="663" t="s">
        <v>4948</v>
      </c>
      <c r="AE1905" s="663" t="s">
        <v>4928</v>
      </c>
      <c r="AF1905" s="663" t="s">
        <v>4946</v>
      </c>
    </row>
    <row r="1906" spans="1:32" s="608" customFormat="1" x14ac:dyDescent="0.25">
      <c r="A1906" s="624"/>
      <c r="B1906" s="617">
        <v>39093071100</v>
      </c>
      <c r="C1906" s="617" t="s">
        <v>3574</v>
      </c>
      <c r="D1906" s="617" t="s">
        <v>70</v>
      </c>
      <c r="E1906" s="617" t="s">
        <v>4853</v>
      </c>
      <c r="F1906" s="617" t="s">
        <v>26</v>
      </c>
      <c r="G1906" s="624"/>
      <c r="O1906" s="616"/>
      <c r="P1906" s="616"/>
      <c r="Q1906" s="616"/>
      <c r="AA1906" s="624"/>
      <c r="AB1906" s="663">
        <v>39095007205</v>
      </c>
      <c r="AC1906" s="663" t="s">
        <v>6838</v>
      </c>
      <c r="AD1906" s="663" t="s">
        <v>4927</v>
      </c>
      <c r="AE1906" s="663" t="s">
        <v>4942</v>
      </c>
      <c r="AF1906" s="663" t="s">
        <v>4946</v>
      </c>
    </row>
    <row r="1907" spans="1:32" s="608" customFormat="1" x14ac:dyDescent="0.25">
      <c r="A1907" s="624"/>
      <c r="B1907" s="617">
        <v>39093071201</v>
      </c>
      <c r="C1907" s="617" t="s">
        <v>3575</v>
      </c>
      <c r="D1907" s="617" t="s">
        <v>70</v>
      </c>
      <c r="E1907" s="617" t="s">
        <v>4853</v>
      </c>
      <c r="F1907" s="617" t="s">
        <v>26</v>
      </c>
      <c r="G1907" s="624"/>
      <c r="O1907" s="616"/>
      <c r="P1907" s="616"/>
      <c r="Q1907" s="616"/>
      <c r="AA1907" s="624"/>
      <c r="AB1907" s="663">
        <v>39095007301</v>
      </c>
      <c r="AC1907" s="663" t="s">
        <v>6839</v>
      </c>
      <c r="AD1907" s="663" t="s">
        <v>4950</v>
      </c>
      <c r="AE1907" s="663" t="s">
        <v>4928</v>
      </c>
      <c r="AF1907" s="663" t="s">
        <v>4946</v>
      </c>
    </row>
    <row r="1908" spans="1:32" s="608" customFormat="1" x14ac:dyDescent="0.25">
      <c r="A1908" s="624"/>
      <c r="B1908" s="617">
        <v>39093071202</v>
      </c>
      <c r="C1908" s="617" t="s">
        <v>3576</v>
      </c>
      <c r="D1908" s="617" t="s">
        <v>70</v>
      </c>
      <c r="E1908" s="617" t="s">
        <v>4853</v>
      </c>
      <c r="F1908" s="617" t="s">
        <v>26</v>
      </c>
      <c r="G1908" s="624"/>
      <c r="O1908" s="616"/>
      <c r="P1908" s="616"/>
      <c r="Q1908" s="616"/>
      <c r="AA1908" s="624"/>
      <c r="AB1908" s="663">
        <v>39095007302</v>
      </c>
      <c r="AC1908" s="663" t="s">
        <v>6840</v>
      </c>
      <c r="AD1908" s="663" t="s">
        <v>4927</v>
      </c>
      <c r="AE1908" s="663" t="s">
        <v>4928</v>
      </c>
      <c r="AF1908" s="663" t="s">
        <v>4946</v>
      </c>
    </row>
    <row r="1909" spans="1:32" s="608" customFormat="1" x14ac:dyDescent="0.25">
      <c r="A1909" s="624"/>
      <c r="B1909" s="617">
        <v>39093071300</v>
      </c>
      <c r="C1909" s="617" t="s">
        <v>3577</v>
      </c>
      <c r="D1909" s="617" t="s">
        <v>70</v>
      </c>
      <c r="E1909" s="617" t="s">
        <v>4853</v>
      </c>
      <c r="F1909" s="617" t="s">
        <v>26</v>
      </c>
      <c r="G1909" s="624"/>
      <c r="O1909" s="616"/>
      <c r="P1909" s="616"/>
      <c r="Q1909" s="616"/>
      <c r="AA1909" s="624"/>
      <c r="AB1909" s="663">
        <v>39095007303</v>
      </c>
      <c r="AC1909" s="663" t="s">
        <v>6841</v>
      </c>
      <c r="AD1909" s="663" t="s">
        <v>4927</v>
      </c>
      <c r="AE1909" s="663" t="s">
        <v>4934</v>
      </c>
      <c r="AF1909" s="663" t="s">
        <v>4946</v>
      </c>
    </row>
    <row r="1910" spans="1:32" s="608" customFormat="1" x14ac:dyDescent="0.25">
      <c r="A1910" s="624"/>
      <c r="B1910" s="617">
        <v>39093071400</v>
      </c>
      <c r="C1910" s="617" t="s">
        <v>3578</v>
      </c>
      <c r="D1910" s="617" t="s">
        <v>70</v>
      </c>
      <c r="E1910" s="617" t="s">
        <v>4853</v>
      </c>
      <c r="F1910" s="617" t="s">
        <v>24</v>
      </c>
      <c r="G1910" s="624"/>
      <c r="O1910" s="616"/>
      <c r="P1910" s="616"/>
      <c r="Q1910" s="616"/>
      <c r="AA1910" s="624"/>
      <c r="AB1910" s="663">
        <v>39095007400</v>
      </c>
      <c r="AC1910" s="663" t="s">
        <v>6842</v>
      </c>
      <c r="AD1910" s="663" t="s">
        <v>4927</v>
      </c>
      <c r="AE1910" s="663" t="s">
        <v>4928</v>
      </c>
      <c r="AF1910" s="663" t="s">
        <v>4946</v>
      </c>
    </row>
    <row r="1911" spans="1:32" s="608" customFormat="1" x14ac:dyDescent="0.25">
      <c r="A1911" s="624"/>
      <c r="B1911" s="617">
        <v>39093071500</v>
      </c>
      <c r="C1911" s="617" t="s">
        <v>3579</v>
      </c>
      <c r="D1911" s="617" t="s">
        <v>70</v>
      </c>
      <c r="E1911" s="617" t="s">
        <v>4853</v>
      </c>
      <c r="F1911" s="617" t="s">
        <v>26</v>
      </c>
      <c r="G1911" s="624"/>
      <c r="O1911" s="616"/>
      <c r="P1911" s="616"/>
      <c r="Q1911" s="616"/>
      <c r="AA1911" s="624"/>
      <c r="AB1911" s="663">
        <v>39095007500</v>
      </c>
      <c r="AC1911" s="663" t="s">
        <v>6843</v>
      </c>
      <c r="AD1911" s="663" t="s">
        <v>4950</v>
      </c>
      <c r="AE1911" s="663" t="s">
        <v>4934</v>
      </c>
      <c r="AF1911" s="663" t="s">
        <v>4946</v>
      </c>
    </row>
    <row r="1912" spans="1:32" s="608" customFormat="1" x14ac:dyDescent="0.25">
      <c r="A1912" s="624"/>
      <c r="B1912" s="617">
        <v>39093077100</v>
      </c>
      <c r="C1912" s="617" t="s">
        <v>3580</v>
      </c>
      <c r="D1912" s="617" t="s">
        <v>70</v>
      </c>
      <c r="E1912" s="617" t="s">
        <v>4853</v>
      </c>
      <c r="F1912" s="617" t="s">
        <v>26</v>
      </c>
      <c r="G1912" s="624"/>
      <c r="O1912" s="616"/>
      <c r="P1912" s="616"/>
      <c r="Q1912" s="616"/>
      <c r="AA1912" s="624"/>
      <c r="AB1912" s="663">
        <v>39095007600</v>
      </c>
      <c r="AC1912" s="663" t="s">
        <v>6844</v>
      </c>
      <c r="AD1912" s="663" t="s">
        <v>4938</v>
      </c>
      <c r="AE1912" s="663" t="s">
        <v>4939</v>
      </c>
      <c r="AF1912" s="663" t="s">
        <v>4946</v>
      </c>
    </row>
    <row r="1913" spans="1:32" s="608" customFormat="1" x14ac:dyDescent="0.25">
      <c r="A1913" s="624"/>
      <c r="B1913" s="617">
        <v>39093080101</v>
      </c>
      <c r="C1913" s="617" t="s">
        <v>3581</v>
      </c>
      <c r="D1913" s="617" t="s">
        <v>70</v>
      </c>
      <c r="E1913" s="617" t="s">
        <v>4853</v>
      </c>
      <c r="F1913" s="617" t="s">
        <v>26</v>
      </c>
      <c r="G1913" s="624"/>
      <c r="O1913" s="616"/>
      <c r="P1913" s="616"/>
      <c r="Q1913" s="616"/>
      <c r="AA1913" s="624"/>
      <c r="AB1913" s="663">
        <v>39095007700</v>
      </c>
      <c r="AC1913" s="663" t="s">
        <v>6845</v>
      </c>
      <c r="AD1913" s="663" t="s">
        <v>4941</v>
      </c>
      <c r="AE1913" s="663" t="s">
        <v>4931</v>
      </c>
      <c r="AF1913" s="663" t="s">
        <v>4946</v>
      </c>
    </row>
    <row r="1914" spans="1:32" s="608" customFormat="1" x14ac:dyDescent="0.25">
      <c r="A1914" s="624"/>
      <c r="B1914" s="617">
        <v>39093080103</v>
      </c>
      <c r="C1914" s="617" t="s">
        <v>3582</v>
      </c>
      <c r="D1914" s="617" t="s">
        <v>70</v>
      </c>
      <c r="E1914" s="617" t="s">
        <v>4853</v>
      </c>
      <c r="F1914" s="617" t="s">
        <v>26</v>
      </c>
      <c r="G1914" s="624"/>
      <c r="O1914" s="616"/>
      <c r="P1914" s="616"/>
      <c r="Q1914" s="616"/>
      <c r="AA1914" s="624"/>
      <c r="AB1914" s="663">
        <v>39095007800</v>
      </c>
      <c r="AC1914" s="663" t="s">
        <v>6846</v>
      </c>
      <c r="AD1914" s="663" t="s">
        <v>4941</v>
      </c>
      <c r="AE1914" s="663" t="s">
        <v>4942</v>
      </c>
      <c r="AF1914" s="663" t="s">
        <v>4946</v>
      </c>
    </row>
    <row r="1915" spans="1:32" s="608" customFormat="1" x14ac:dyDescent="0.25">
      <c r="A1915" s="624"/>
      <c r="B1915" s="617">
        <v>39093080104</v>
      </c>
      <c r="C1915" s="617" t="s">
        <v>3583</v>
      </c>
      <c r="D1915" s="617" t="s">
        <v>70</v>
      </c>
      <c r="E1915" s="617" t="s">
        <v>4853</v>
      </c>
      <c r="F1915" s="617" t="s">
        <v>26</v>
      </c>
      <c r="G1915" s="624"/>
      <c r="O1915" s="616"/>
      <c r="P1915" s="616"/>
      <c r="Q1915" s="616"/>
      <c r="AA1915" s="624"/>
      <c r="AB1915" s="663">
        <v>39095007901</v>
      </c>
      <c r="AC1915" s="663" t="s">
        <v>6847</v>
      </c>
      <c r="AD1915" s="663" t="s">
        <v>4948</v>
      </c>
      <c r="AE1915" s="663" t="s">
        <v>4934</v>
      </c>
      <c r="AF1915" s="663" t="s">
        <v>4946</v>
      </c>
    </row>
    <row r="1916" spans="1:32" s="608" customFormat="1" x14ac:dyDescent="0.25">
      <c r="A1916" s="624"/>
      <c r="B1916" s="617">
        <v>39093080500</v>
      </c>
      <c r="C1916" s="617" t="s">
        <v>3584</v>
      </c>
      <c r="D1916" s="617" t="s">
        <v>70</v>
      </c>
      <c r="E1916" s="617" t="s">
        <v>4853</v>
      </c>
      <c r="F1916" s="617" t="s">
        <v>26</v>
      </c>
      <c r="G1916" s="624"/>
      <c r="O1916" s="616"/>
      <c r="P1916" s="616"/>
      <c r="Q1916" s="616"/>
      <c r="AA1916" s="624"/>
      <c r="AB1916" s="663">
        <v>39095007902</v>
      </c>
      <c r="AC1916" s="663" t="s">
        <v>6848</v>
      </c>
      <c r="AD1916" s="663" t="s">
        <v>4950</v>
      </c>
      <c r="AE1916" s="663" t="s">
        <v>4939</v>
      </c>
      <c r="AF1916" s="663" t="s">
        <v>4946</v>
      </c>
    </row>
    <row r="1917" spans="1:32" s="608" customFormat="1" x14ac:dyDescent="0.25">
      <c r="A1917" s="624"/>
      <c r="B1917" s="617">
        <v>39093080600</v>
      </c>
      <c r="C1917" s="617" t="s">
        <v>3585</v>
      </c>
      <c r="D1917" s="617" t="s">
        <v>70</v>
      </c>
      <c r="E1917" s="617" t="s">
        <v>4853</v>
      </c>
      <c r="F1917" s="617" t="s">
        <v>26</v>
      </c>
      <c r="G1917" s="624"/>
      <c r="O1917" s="616"/>
      <c r="P1917" s="616"/>
      <c r="Q1917" s="616"/>
      <c r="AA1917" s="624"/>
      <c r="AB1917" s="663">
        <v>39095008000</v>
      </c>
      <c r="AC1917" s="663" t="s">
        <v>6849</v>
      </c>
      <c r="AD1917" s="663" t="s">
        <v>4941</v>
      </c>
      <c r="AE1917" s="663" t="s">
        <v>4939</v>
      </c>
      <c r="AF1917" s="663" t="s">
        <v>4946</v>
      </c>
    </row>
    <row r="1918" spans="1:32" s="608" customFormat="1" x14ac:dyDescent="0.25">
      <c r="A1918" s="624"/>
      <c r="B1918" s="617">
        <v>39093080701</v>
      </c>
      <c r="C1918" s="617" t="s">
        <v>3586</v>
      </c>
      <c r="D1918" s="617" t="s">
        <v>70</v>
      </c>
      <c r="E1918" s="617" t="s">
        <v>4853</v>
      </c>
      <c r="F1918" s="617" t="s">
        <v>26</v>
      </c>
      <c r="G1918" s="624"/>
      <c r="O1918" s="616"/>
      <c r="P1918" s="616"/>
      <c r="Q1918" s="616"/>
      <c r="AA1918" s="624"/>
      <c r="AB1918" s="663">
        <v>39095008100</v>
      </c>
      <c r="AC1918" s="663" t="s">
        <v>6850</v>
      </c>
      <c r="AD1918" s="663" t="s">
        <v>4948</v>
      </c>
      <c r="AE1918" s="663" t="s">
        <v>4939</v>
      </c>
      <c r="AF1918" s="663" t="s">
        <v>4946</v>
      </c>
    </row>
    <row r="1919" spans="1:32" s="608" customFormat="1" x14ac:dyDescent="0.25">
      <c r="A1919" s="624"/>
      <c r="B1919" s="617">
        <v>39093080702</v>
      </c>
      <c r="C1919" s="617" t="s">
        <v>3587</v>
      </c>
      <c r="D1919" s="617" t="s">
        <v>70</v>
      </c>
      <c r="E1919" s="617" t="s">
        <v>4853</v>
      </c>
      <c r="F1919" s="617" t="s">
        <v>26</v>
      </c>
      <c r="G1919" s="624"/>
      <c r="O1919" s="616"/>
      <c r="P1919" s="616"/>
      <c r="Q1919" s="616"/>
      <c r="AA1919" s="624"/>
      <c r="AB1919" s="663">
        <v>39095008201</v>
      </c>
      <c r="AC1919" s="663" t="s">
        <v>6851</v>
      </c>
      <c r="AD1919" s="663" t="s">
        <v>4941</v>
      </c>
      <c r="AE1919" s="663" t="s">
        <v>4934</v>
      </c>
      <c r="AF1919" s="663" t="s">
        <v>4946</v>
      </c>
    </row>
    <row r="1920" spans="1:32" s="608" customFormat="1" x14ac:dyDescent="0.25">
      <c r="A1920" s="624"/>
      <c r="B1920" s="617">
        <v>39093090100</v>
      </c>
      <c r="C1920" s="617" t="s">
        <v>3588</v>
      </c>
      <c r="D1920" s="617" t="s">
        <v>70</v>
      </c>
      <c r="E1920" s="617" t="s">
        <v>4853</v>
      </c>
      <c r="F1920" s="617" t="s">
        <v>26</v>
      </c>
      <c r="G1920" s="624"/>
      <c r="O1920" s="616"/>
      <c r="P1920" s="616"/>
      <c r="Q1920" s="616"/>
      <c r="AA1920" s="624"/>
      <c r="AB1920" s="663">
        <v>39095008202</v>
      </c>
      <c r="AC1920" s="663" t="s">
        <v>6852</v>
      </c>
      <c r="AD1920" s="663" t="s">
        <v>4938</v>
      </c>
      <c r="AE1920" s="663" t="s">
        <v>4939</v>
      </c>
      <c r="AF1920" s="663" t="s">
        <v>4946</v>
      </c>
    </row>
    <row r="1921" spans="1:32" s="608" customFormat="1" x14ac:dyDescent="0.25">
      <c r="A1921" s="624"/>
      <c r="B1921" s="617">
        <v>39093090200</v>
      </c>
      <c r="C1921" s="617" t="s">
        <v>3589</v>
      </c>
      <c r="D1921" s="617" t="s">
        <v>70</v>
      </c>
      <c r="E1921" s="617" t="s">
        <v>4853</v>
      </c>
      <c r="F1921" s="617" t="s">
        <v>26</v>
      </c>
      <c r="G1921" s="624"/>
      <c r="O1921" s="616"/>
      <c r="P1921" s="616"/>
      <c r="Q1921" s="616"/>
      <c r="AA1921" s="624"/>
      <c r="AB1921" s="663">
        <v>39095008203</v>
      </c>
      <c r="AC1921" s="663" t="s">
        <v>6853</v>
      </c>
      <c r="AD1921" s="663" t="s">
        <v>4941</v>
      </c>
      <c r="AE1921" s="663" t="s">
        <v>4931</v>
      </c>
      <c r="AF1921" s="663" t="s">
        <v>4946</v>
      </c>
    </row>
    <row r="1922" spans="1:32" s="608" customFormat="1" x14ac:dyDescent="0.25">
      <c r="A1922" s="624"/>
      <c r="B1922" s="617">
        <v>39093091100</v>
      </c>
      <c r="C1922" s="617" t="s">
        <v>3590</v>
      </c>
      <c r="D1922" s="617" t="s">
        <v>70</v>
      </c>
      <c r="E1922" s="617" t="s">
        <v>4853</v>
      </c>
      <c r="F1922" s="617" t="s">
        <v>26</v>
      </c>
      <c r="G1922" s="624"/>
      <c r="O1922" s="616"/>
      <c r="P1922" s="616"/>
      <c r="Q1922" s="616"/>
      <c r="AA1922" s="624"/>
      <c r="AB1922" s="663">
        <v>39095008301</v>
      </c>
      <c r="AC1922" s="663" t="s">
        <v>6854</v>
      </c>
      <c r="AD1922" s="663" t="s">
        <v>4938</v>
      </c>
      <c r="AE1922" s="663" t="s">
        <v>4931</v>
      </c>
      <c r="AF1922" s="663" t="s">
        <v>4946</v>
      </c>
    </row>
    <row r="1923" spans="1:32" s="608" customFormat="1" x14ac:dyDescent="0.25">
      <c r="A1923" s="624"/>
      <c r="B1923" s="617">
        <v>39093091200</v>
      </c>
      <c r="C1923" s="617" t="s">
        <v>3591</v>
      </c>
      <c r="D1923" s="617" t="s">
        <v>70</v>
      </c>
      <c r="E1923" s="617" t="s">
        <v>4853</v>
      </c>
      <c r="F1923" s="617" t="s">
        <v>26</v>
      </c>
      <c r="G1923" s="624"/>
      <c r="O1923" s="616"/>
      <c r="P1923" s="616"/>
      <c r="Q1923" s="616"/>
      <c r="AA1923" s="624"/>
      <c r="AB1923" s="663">
        <v>39095008302</v>
      </c>
      <c r="AC1923" s="663" t="s">
        <v>6855</v>
      </c>
      <c r="AD1923" s="663" t="s">
        <v>4938</v>
      </c>
      <c r="AE1923" s="663" t="s">
        <v>4934</v>
      </c>
      <c r="AF1923" s="663" t="s">
        <v>4946</v>
      </c>
    </row>
    <row r="1924" spans="1:32" s="608" customFormat="1" x14ac:dyDescent="0.25">
      <c r="A1924" s="624"/>
      <c r="B1924" s="617">
        <v>39093092100</v>
      </c>
      <c r="C1924" s="617" t="s">
        <v>3592</v>
      </c>
      <c r="D1924" s="617" t="s">
        <v>70</v>
      </c>
      <c r="E1924" s="617" t="s">
        <v>4853</v>
      </c>
      <c r="F1924" s="617" t="s">
        <v>26</v>
      </c>
      <c r="G1924" s="624"/>
      <c r="O1924" s="616"/>
      <c r="P1924" s="616"/>
      <c r="Q1924" s="616"/>
      <c r="AA1924" s="624"/>
      <c r="AB1924" s="663">
        <v>39095008400</v>
      </c>
      <c r="AC1924" s="663" t="s">
        <v>6856</v>
      </c>
      <c r="AD1924" s="663" t="s">
        <v>4941</v>
      </c>
      <c r="AE1924" s="663" t="s">
        <v>4931</v>
      </c>
      <c r="AF1924" s="663" t="s">
        <v>4946</v>
      </c>
    </row>
    <row r="1925" spans="1:32" s="608" customFormat="1" x14ac:dyDescent="0.25">
      <c r="A1925" s="624"/>
      <c r="B1925" s="617">
        <v>39093093100</v>
      </c>
      <c r="C1925" s="617" t="s">
        <v>3593</v>
      </c>
      <c r="D1925" s="617" t="s">
        <v>70</v>
      </c>
      <c r="E1925" s="617" t="s">
        <v>4853</v>
      </c>
      <c r="F1925" s="617" t="s">
        <v>26</v>
      </c>
      <c r="G1925" s="624"/>
      <c r="O1925" s="616"/>
      <c r="P1925" s="616"/>
      <c r="Q1925" s="616"/>
      <c r="AA1925" s="624"/>
      <c r="AB1925" s="663">
        <v>39095008500</v>
      </c>
      <c r="AC1925" s="663" t="s">
        <v>6857</v>
      </c>
      <c r="AD1925" s="663" t="s">
        <v>4950</v>
      </c>
      <c r="AE1925" s="663" t="s">
        <v>4934</v>
      </c>
      <c r="AF1925" s="663" t="s">
        <v>4946</v>
      </c>
    </row>
    <row r="1926" spans="1:32" s="608" customFormat="1" x14ac:dyDescent="0.25">
      <c r="A1926" s="624"/>
      <c r="B1926" s="617">
        <v>39093094101</v>
      </c>
      <c r="C1926" s="617" t="s">
        <v>3594</v>
      </c>
      <c r="D1926" s="617" t="s">
        <v>70</v>
      </c>
      <c r="E1926" s="617" t="s">
        <v>4853</v>
      </c>
      <c r="F1926" s="617" t="s">
        <v>26</v>
      </c>
      <c r="G1926" s="624"/>
      <c r="O1926" s="616"/>
      <c r="P1926" s="616"/>
      <c r="Q1926" s="616"/>
      <c r="AA1926" s="624"/>
      <c r="AB1926" s="663">
        <v>39095008600</v>
      </c>
      <c r="AC1926" s="663" t="s">
        <v>6858</v>
      </c>
      <c r="AD1926" s="663" t="s">
        <v>4927</v>
      </c>
      <c r="AE1926" s="663" t="s">
        <v>4942</v>
      </c>
      <c r="AF1926" s="663" t="s">
        <v>4946</v>
      </c>
    </row>
    <row r="1927" spans="1:32" s="608" customFormat="1" x14ac:dyDescent="0.25">
      <c r="A1927" s="624"/>
      <c r="B1927" s="617">
        <v>39093094102</v>
      </c>
      <c r="C1927" s="617" t="s">
        <v>3595</v>
      </c>
      <c r="D1927" s="617" t="s">
        <v>70</v>
      </c>
      <c r="E1927" s="617" t="s">
        <v>4853</v>
      </c>
      <c r="F1927" s="617" t="s">
        <v>26</v>
      </c>
      <c r="G1927" s="624"/>
      <c r="O1927" s="616"/>
      <c r="P1927" s="616"/>
      <c r="Q1927" s="616"/>
      <c r="AA1927" s="624"/>
      <c r="AB1927" s="663">
        <v>39095008700</v>
      </c>
      <c r="AC1927" s="663" t="s">
        <v>6859</v>
      </c>
      <c r="AD1927" s="663" t="s">
        <v>4950</v>
      </c>
      <c r="AE1927" s="663" t="s">
        <v>4934</v>
      </c>
      <c r="AF1927" s="663" t="s">
        <v>4946</v>
      </c>
    </row>
    <row r="1928" spans="1:32" s="608" customFormat="1" x14ac:dyDescent="0.25">
      <c r="A1928" s="624"/>
      <c r="B1928" s="617">
        <v>39093095100</v>
      </c>
      <c r="C1928" s="617" t="s">
        <v>3596</v>
      </c>
      <c r="D1928" s="617" t="s">
        <v>70</v>
      </c>
      <c r="E1928" s="617" t="s">
        <v>4853</v>
      </c>
      <c r="F1928" s="617" t="s">
        <v>26</v>
      </c>
      <c r="G1928" s="624"/>
      <c r="O1928" s="616"/>
      <c r="P1928" s="616"/>
      <c r="Q1928" s="616"/>
      <c r="AA1928" s="624"/>
      <c r="AB1928" s="663">
        <v>39095008800</v>
      </c>
      <c r="AC1928" s="663" t="s">
        <v>6860</v>
      </c>
      <c r="AD1928" s="663" t="s">
        <v>4941</v>
      </c>
      <c r="AE1928" s="663" t="s">
        <v>4939</v>
      </c>
      <c r="AF1928" s="663" t="s">
        <v>4946</v>
      </c>
    </row>
    <row r="1929" spans="1:32" s="608" customFormat="1" x14ac:dyDescent="0.25">
      <c r="A1929" s="624"/>
      <c r="B1929" s="617">
        <v>39093096100</v>
      </c>
      <c r="C1929" s="617" t="s">
        <v>3597</v>
      </c>
      <c r="D1929" s="617" t="s">
        <v>70</v>
      </c>
      <c r="E1929" s="617" t="s">
        <v>4853</v>
      </c>
      <c r="F1929" s="617" t="s">
        <v>26</v>
      </c>
      <c r="G1929" s="624"/>
      <c r="O1929" s="616"/>
      <c r="P1929" s="616"/>
      <c r="Q1929" s="616"/>
      <c r="AA1929" s="624"/>
      <c r="AB1929" s="663">
        <v>39095008901</v>
      </c>
      <c r="AC1929" s="663" t="s">
        <v>6861</v>
      </c>
      <c r="AD1929" s="663" t="s">
        <v>4941</v>
      </c>
      <c r="AE1929" s="663" t="s">
        <v>4931</v>
      </c>
      <c r="AF1929" s="663" t="s">
        <v>4946</v>
      </c>
    </row>
    <row r="1930" spans="1:32" s="608" customFormat="1" x14ac:dyDescent="0.25">
      <c r="A1930" s="624"/>
      <c r="B1930" s="617">
        <v>39093097100</v>
      </c>
      <c r="C1930" s="617" t="s">
        <v>3598</v>
      </c>
      <c r="D1930" s="617" t="s">
        <v>70</v>
      </c>
      <c r="E1930" s="617" t="s">
        <v>4853</v>
      </c>
      <c r="F1930" s="617" t="s">
        <v>26</v>
      </c>
      <c r="G1930" s="624"/>
      <c r="O1930" s="616"/>
      <c r="P1930" s="616"/>
      <c r="Q1930" s="616"/>
      <c r="AA1930" s="624"/>
      <c r="AB1930" s="663">
        <v>39095008902</v>
      </c>
      <c r="AC1930" s="663" t="s">
        <v>6862</v>
      </c>
      <c r="AD1930" s="663" t="s">
        <v>4941</v>
      </c>
      <c r="AE1930" s="663" t="s">
        <v>4939</v>
      </c>
      <c r="AF1930" s="663" t="s">
        <v>4946</v>
      </c>
    </row>
    <row r="1931" spans="1:32" s="608" customFormat="1" x14ac:dyDescent="0.25">
      <c r="A1931" s="624"/>
      <c r="B1931" s="617">
        <v>39093097201</v>
      </c>
      <c r="C1931" s="617" t="s">
        <v>3599</v>
      </c>
      <c r="D1931" s="617" t="s">
        <v>70</v>
      </c>
      <c r="E1931" s="617" t="s">
        <v>4853</v>
      </c>
      <c r="F1931" s="617" t="s">
        <v>26</v>
      </c>
      <c r="G1931" s="624"/>
      <c r="O1931" s="616"/>
      <c r="P1931" s="616"/>
      <c r="Q1931" s="616"/>
      <c r="AA1931" s="624"/>
      <c r="AB1931" s="663">
        <v>39095009000</v>
      </c>
      <c r="AC1931" s="663" t="s">
        <v>6863</v>
      </c>
      <c r="AD1931" s="663" t="s">
        <v>4938</v>
      </c>
      <c r="AE1931" s="663" t="s">
        <v>4931</v>
      </c>
      <c r="AF1931" s="663" t="s">
        <v>4929</v>
      </c>
    </row>
    <row r="1932" spans="1:32" s="608" customFormat="1" x14ac:dyDescent="0.25">
      <c r="A1932" s="624"/>
      <c r="B1932" s="617">
        <v>39093097202</v>
      </c>
      <c r="C1932" s="617" t="s">
        <v>3600</v>
      </c>
      <c r="D1932" s="617" t="s">
        <v>70</v>
      </c>
      <c r="E1932" s="617" t="s">
        <v>4853</v>
      </c>
      <c r="F1932" s="617" t="s">
        <v>26</v>
      </c>
      <c r="G1932" s="624"/>
      <c r="O1932" s="616"/>
      <c r="P1932" s="616"/>
      <c r="Q1932" s="616"/>
      <c r="AA1932" s="624"/>
      <c r="AB1932" s="663">
        <v>39095009101</v>
      </c>
      <c r="AC1932" s="663" t="s">
        <v>6864</v>
      </c>
      <c r="AD1932" s="663" t="s">
        <v>4938</v>
      </c>
      <c r="AE1932" s="663" t="s">
        <v>4939</v>
      </c>
      <c r="AF1932" s="663" t="s">
        <v>4946</v>
      </c>
    </row>
    <row r="1933" spans="1:32" s="608" customFormat="1" x14ac:dyDescent="0.25">
      <c r="A1933" s="624"/>
      <c r="B1933" s="617">
        <v>39093097300</v>
      </c>
      <c r="C1933" s="617" t="s">
        <v>3601</v>
      </c>
      <c r="D1933" s="617" t="s">
        <v>70</v>
      </c>
      <c r="E1933" s="617" t="s">
        <v>4853</v>
      </c>
      <c r="F1933" s="617" t="s">
        <v>24</v>
      </c>
      <c r="G1933" s="624"/>
      <c r="O1933" s="616"/>
      <c r="P1933" s="616"/>
      <c r="Q1933" s="616"/>
      <c r="AA1933" s="624"/>
      <c r="AB1933" s="663">
        <v>39095009102</v>
      </c>
      <c r="AC1933" s="663" t="s">
        <v>6865</v>
      </c>
      <c r="AD1933" s="663" t="s">
        <v>4948</v>
      </c>
      <c r="AE1933" s="663" t="s">
        <v>4939</v>
      </c>
      <c r="AF1933" s="663" t="s">
        <v>4946</v>
      </c>
    </row>
    <row r="1934" spans="1:32" s="608" customFormat="1" x14ac:dyDescent="0.25">
      <c r="A1934" s="624"/>
      <c r="B1934" s="617">
        <v>39093097401</v>
      </c>
      <c r="C1934" s="617" t="s">
        <v>3602</v>
      </c>
      <c r="D1934" s="617" t="s">
        <v>70</v>
      </c>
      <c r="E1934" s="617" t="s">
        <v>4853</v>
      </c>
      <c r="F1934" s="617" t="s">
        <v>26</v>
      </c>
      <c r="G1934" s="624"/>
      <c r="O1934" s="616"/>
      <c r="P1934" s="616"/>
      <c r="Q1934" s="616"/>
      <c r="AA1934" s="624"/>
      <c r="AB1934" s="663">
        <v>39095009201</v>
      </c>
      <c r="AC1934" s="663" t="s">
        <v>6866</v>
      </c>
      <c r="AD1934" s="663" t="s">
        <v>4938</v>
      </c>
      <c r="AE1934" s="663" t="s">
        <v>4934</v>
      </c>
      <c r="AF1934" s="663" t="s">
        <v>4929</v>
      </c>
    </row>
    <row r="1935" spans="1:32" s="608" customFormat="1" x14ac:dyDescent="0.25">
      <c r="A1935" s="624"/>
      <c r="B1935" s="617">
        <v>39093097402</v>
      </c>
      <c r="C1935" s="617" t="s">
        <v>3603</v>
      </c>
      <c r="D1935" s="617" t="s">
        <v>70</v>
      </c>
      <c r="E1935" s="617" t="s">
        <v>4853</v>
      </c>
      <c r="F1935" s="617" t="s">
        <v>26</v>
      </c>
      <c r="G1935" s="624"/>
      <c r="O1935" s="616"/>
      <c r="P1935" s="616"/>
      <c r="Q1935" s="616"/>
      <c r="AA1935" s="624"/>
      <c r="AB1935" s="663">
        <v>39095009202</v>
      </c>
      <c r="AC1935" s="663" t="s">
        <v>6867</v>
      </c>
      <c r="AD1935" s="663" t="s">
        <v>4938</v>
      </c>
      <c r="AE1935" s="663" t="s">
        <v>4931</v>
      </c>
      <c r="AF1935" s="663" t="s">
        <v>4946</v>
      </c>
    </row>
    <row r="1936" spans="1:32" s="608" customFormat="1" x14ac:dyDescent="0.25">
      <c r="A1936" s="624"/>
      <c r="B1936" s="617">
        <v>39093097500</v>
      </c>
      <c r="C1936" s="617" t="s">
        <v>3604</v>
      </c>
      <c r="D1936" s="617" t="s">
        <v>70</v>
      </c>
      <c r="E1936" s="617" t="s">
        <v>4853</v>
      </c>
      <c r="F1936" s="617" t="s">
        <v>24</v>
      </c>
      <c r="G1936" s="624"/>
      <c r="O1936" s="616"/>
      <c r="P1936" s="616"/>
      <c r="Q1936" s="616"/>
      <c r="AA1936" s="624"/>
      <c r="AB1936" s="663">
        <v>39095009300</v>
      </c>
      <c r="AC1936" s="663" t="s">
        <v>6868</v>
      </c>
      <c r="AD1936" s="663" t="s">
        <v>4938</v>
      </c>
      <c r="AE1936" s="663" t="s">
        <v>4931</v>
      </c>
      <c r="AF1936" s="663" t="s">
        <v>4929</v>
      </c>
    </row>
    <row r="1937" spans="1:32" s="608" customFormat="1" x14ac:dyDescent="0.25">
      <c r="A1937" s="624"/>
      <c r="B1937" s="617">
        <v>39093097600</v>
      </c>
      <c r="C1937" s="617" t="s">
        <v>3605</v>
      </c>
      <c r="D1937" s="617" t="s">
        <v>70</v>
      </c>
      <c r="E1937" s="617" t="s">
        <v>4853</v>
      </c>
      <c r="F1937" s="617" t="s">
        <v>24</v>
      </c>
      <c r="G1937" s="624"/>
      <c r="O1937" s="616"/>
      <c r="P1937" s="616"/>
      <c r="Q1937" s="616"/>
      <c r="AA1937" s="624"/>
      <c r="AB1937" s="663">
        <v>39095009400</v>
      </c>
      <c r="AC1937" s="663" t="s">
        <v>6869</v>
      </c>
      <c r="AD1937" s="663" t="s">
        <v>4941</v>
      </c>
      <c r="AE1937" s="663" t="s">
        <v>4931</v>
      </c>
      <c r="AF1937" s="663" t="s">
        <v>4929</v>
      </c>
    </row>
    <row r="1938" spans="1:32" s="608" customFormat="1" x14ac:dyDescent="0.25">
      <c r="A1938" s="624"/>
      <c r="B1938" s="617">
        <v>39093990200</v>
      </c>
      <c r="C1938" s="617" t="s">
        <v>3606</v>
      </c>
      <c r="D1938" s="617" t="s">
        <v>70</v>
      </c>
      <c r="E1938" s="617" t="s">
        <v>4853</v>
      </c>
      <c r="F1938" s="617" t="s">
        <v>26</v>
      </c>
      <c r="G1938" s="624"/>
      <c r="O1938" s="616"/>
      <c r="P1938" s="616"/>
      <c r="Q1938" s="616"/>
      <c r="AA1938" s="624"/>
      <c r="AB1938" s="663">
        <v>39095009500</v>
      </c>
      <c r="AC1938" s="663" t="s">
        <v>6870</v>
      </c>
      <c r="AD1938" s="663" t="s">
        <v>4948</v>
      </c>
      <c r="AE1938" s="663" t="s">
        <v>4931</v>
      </c>
      <c r="AF1938" s="663" t="s">
        <v>4929</v>
      </c>
    </row>
    <row r="1939" spans="1:32" s="608" customFormat="1" x14ac:dyDescent="0.25">
      <c r="A1939" s="624"/>
      <c r="B1939" s="617">
        <v>39095000201</v>
      </c>
      <c r="C1939" s="617" t="s">
        <v>3607</v>
      </c>
      <c r="D1939" s="617" t="s">
        <v>71</v>
      </c>
      <c r="E1939" s="617" t="s">
        <v>4855</v>
      </c>
      <c r="F1939" s="617" t="s">
        <v>26</v>
      </c>
      <c r="G1939" s="624"/>
      <c r="O1939" s="616"/>
      <c r="P1939" s="616"/>
      <c r="Q1939" s="616"/>
      <c r="AA1939" s="624"/>
      <c r="AB1939" s="663">
        <v>39095009600</v>
      </c>
      <c r="AC1939" s="663" t="s">
        <v>6871</v>
      </c>
      <c r="AD1939" s="663" t="s">
        <v>4941</v>
      </c>
      <c r="AE1939" s="663" t="s">
        <v>4934</v>
      </c>
      <c r="AF1939" s="663" t="s">
        <v>4929</v>
      </c>
    </row>
    <row r="1940" spans="1:32" s="608" customFormat="1" x14ac:dyDescent="0.25">
      <c r="A1940" s="624"/>
      <c r="B1940" s="617">
        <v>39095000202</v>
      </c>
      <c r="C1940" s="617" t="s">
        <v>3608</v>
      </c>
      <c r="D1940" s="617" t="s">
        <v>71</v>
      </c>
      <c r="E1940" s="617" t="s">
        <v>4855</v>
      </c>
      <c r="F1940" s="617" t="s">
        <v>26</v>
      </c>
      <c r="G1940" s="624"/>
      <c r="O1940" s="616"/>
      <c r="P1940" s="616"/>
      <c r="Q1940" s="616"/>
      <c r="AA1940" s="624"/>
      <c r="AB1940" s="663">
        <v>39095009700</v>
      </c>
      <c r="AC1940" s="663" t="s">
        <v>6872</v>
      </c>
      <c r="AD1940" s="663" t="s">
        <v>4948</v>
      </c>
      <c r="AE1940" s="663" t="s">
        <v>4942</v>
      </c>
      <c r="AF1940" s="663" t="s">
        <v>4929</v>
      </c>
    </row>
    <row r="1941" spans="1:32" s="608" customFormat="1" x14ac:dyDescent="0.25">
      <c r="A1941" s="624"/>
      <c r="B1941" s="617">
        <v>39095000301</v>
      </c>
      <c r="C1941" s="617" t="s">
        <v>3609</v>
      </c>
      <c r="D1941" s="617" t="s">
        <v>71</v>
      </c>
      <c r="E1941" s="617" t="s">
        <v>4855</v>
      </c>
      <c r="F1941" s="617" t="s">
        <v>26</v>
      </c>
      <c r="G1941" s="624"/>
      <c r="O1941" s="616"/>
      <c r="P1941" s="616"/>
      <c r="Q1941" s="616"/>
      <c r="AA1941" s="624"/>
      <c r="AB1941" s="663">
        <v>39095009800</v>
      </c>
      <c r="AC1941" s="663" t="s">
        <v>6873</v>
      </c>
      <c r="AD1941" s="663" t="s">
        <v>4948</v>
      </c>
      <c r="AE1941" s="663" t="s">
        <v>4931</v>
      </c>
      <c r="AF1941" s="663" t="s">
        <v>4946</v>
      </c>
    </row>
    <row r="1942" spans="1:32" s="608" customFormat="1" x14ac:dyDescent="0.25">
      <c r="A1942" s="624"/>
      <c r="B1942" s="617">
        <v>39095000302</v>
      </c>
      <c r="C1942" s="617" t="s">
        <v>3610</v>
      </c>
      <c r="D1942" s="617" t="s">
        <v>71</v>
      </c>
      <c r="E1942" s="617" t="s">
        <v>4855</v>
      </c>
      <c r="F1942" s="617" t="s">
        <v>26</v>
      </c>
      <c r="G1942" s="624"/>
      <c r="O1942" s="616"/>
      <c r="P1942" s="616"/>
      <c r="Q1942" s="616"/>
      <c r="AA1942" s="624"/>
      <c r="AB1942" s="663">
        <v>39095009900</v>
      </c>
      <c r="AC1942" s="663" t="s">
        <v>6874</v>
      </c>
      <c r="AD1942" s="663" t="s">
        <v>4948</v>
      </c>
      <c r="AE1942" s="663" t="s">
        <v>4928</v>
      </c>
      <c r="AF1942" s="663" t="s">
        <v>4946</v>
      </c>
    </row>
    <row r="1943" spans="1:32" s="608" customFormat="1" x14ac:dyDescent="0.25">
      <c r="A1943" s="624"/>
      <c r="B1943" s="617">
        <v>39095000400</v>
      </c>
      <c r="C1943" s="617" t="s">
        <v>3611</v>
      </c>
      <c r="D1943" s="617" t="s">
        <v>71</v>
      </c>
      <c r="E1943" s="617" t="s">
        <v>4855</v>
      </c>
      <c r="F1943" s="617" t="s">
        <v>26</v>
      </c>
      <c r="G1943" s="624"/>
      <c r="O1943" s="616"/>
      <c r="P1943" s="616"/>
      <c r="Q1943" s="616"/>
      <c r="AA1943" s="624"/>
      <c r="AB1943" s="663">
        <v>39095010001</v>
      </c>
      <c r="AC1943" s="663" t="s">
        <v>6875</v>
      </c>
      <c r="AD1943" s="663" t="s">
        <v>4941</v>
      </c>
      <c r="AE1943" s="663" t="s">
        <v>4939</v>
      </c>
      <c r="AF1943" s="663" t="s">
        <v>4946</v>
      </c>
    </row>
    <row r="1944" spans="1:32" s="608" customFormat="1" x14ac:dyDescent="0.25">
      <c r="A1944" s="624"/>
      <c r="B1944" s="617">
        <v>39095000601</v>
      </c>
      <c r="C1944" s="617" t="s">
        <v>3612</v>
      </c>
      <c r="D1944" s="617" t="s">
        <v>71</v>
      </c>
      <c r="E1944" s="617" t="s">
        <v>4855</v>
      </c>
      <c r="F1944" s="617" t="s">
        <v>26</v>
      </c>
      <c r="G1944" s="624"/>
      <c r="O1944" s="616"/>
      <c r="P1944" s="616"/>
      <c r="Q1944" s="616"/>
      <c r="AA1944" s="624"/>
      <c r="AB1944" s="663">
        <v>39095010002</v>
      </c>
      <c r="AC1944" s="663" t="s">
        <v>6876</v>
      </c>
      <c r="AD1944" s="663" t="s">
        <v>4948</v>
      </c>
      <c r="AE1944" s="663" t="s">
        <v>4931</v>
      </c>
      <c r="AF1944" s="663" t="s">
        <v>4946</v>
      </c>
    </row>
    <row r="1945" spans="1:32" s="608" customFormat="1" x14ac:dyDescent="0.25">
      <c r="A1945" s="624"/>
      <c r="B1945" s="617">
        <v>39095000602</v>
      </c>
      <c r="C1945" s="617" t="s">
        <v>3613</v>
      </c>
      <c r="D1945" s="617" t="s">
        <v>71</v>
      </c>
      <c r="E1945" s="617" t="s">
        <v>4855</v>
      </c>
      <c r="F1945" s="617" t="s">
        <v>26</v>
      </c>
      <c r="G1945" s="624"/>
      <c r="O1945" s="616"/>
      <c r="P1945" s="616"/>
      <c r="Q1945" s="616"/>
      <c r="AA1945" s="624"/>
      <c r="AB1945" s="663">
        <v>39095010100</v>
      </c>
      <c r="AC1945" s="663" t="s">
        <v>6877</v>
      </c>
      <c r="AD1945" s="663" t="s">
        <v>4948</v>
      </c>
      <c r="AE1945" s="663" t="s">
        <v>4928</v>
      </c>
      <c r="AF1945" s="663" t="s">
        <v>4946</v>
      </c>
    </row>
    <row r="1946" spans="1:32" s="608" customFormat="1" x14ac:dyDescent="0.25">
      <c r="A1946" s="624"/>
      <c r="B1946" s="617">
        <v>39095000701</v>
      </c>
      <c r="C1946" s="617" t="s">
        <v>3614</v>
      </c>
      <c r="D1946" s="617" t="s">
        <v>71</v>
      </c>
      <c r="E1946" s="617" t="s">
        <v>4855</v>
      </c>
      <c r="F1946" s="617" t="s">
        <v>24</v>
      </c>
      <c r="G1946" s="624"/>
      <c r="O1946" s="616"/>
      <c r="P1946" s="616"/>
      <c r="Q1946" s="616"/>
      <c r="AA1946" s="624"/>
      <c r="AB1946" s="663">
        <v>39095010200</v>
      </c>
      <c r="AC1946" s="663" t="s">
        <v>6878</v>
      </c>
      <c r="AD1946" s="663" t="s">
        <v>4948</v>
      </c>
      <c r="AE1946" s="663" t="s">
        <v>4931</v>
      </c>
      <c r="AF1946" s="663" t="s">
        <v>4962</v>
      </c>
    </row>
    <row r="1947" spans="1:32" s="608" customFormat="1" x14ac:dyDescent="0.25">
      <c r="A1947" s="624"/>
      <c r="B1947" s="617">
        <v>39095000702</v>
      </c>
      <c r="C1947" s="617" t="s">
        <v>3615</v>
      </c>
      <c r="D1947" s="617" t="s">
        <v>71</v>
      </c>
      <c r="E1947" s="617" t="s">
        <v>4855</v>
      </c>
      <c r="F1947" s="617" t="s">
        <v>24</v>
      </c>
      <c r="G1947" s="624"/>
      <c r="O1947" s="616"/>
      <c r="P1947" s="616"/>
      <c r="Q1947" s="616"/>
      <c r="AA1947" s="624"/>
      <c r="AB1947" s="663">
        <v>39095010300</v>
      </c>
      <c r="AC1947" s="663" t="s">
        <v>6879</v>
      </c>
      <c r="AD1947" s="663" t="s">
        <v>4950</v>
      </c>
      <c r="AE1947" s="663" t="s">
        <v>4934</v>
      </c>
      <c r="AF1947" s="663" t="s">
        <v>4962</v>
      </c>
    </row>
    <row r="1948" spans="1:32" s="608" customFormat="1" x14ac:dyDescent="0.25">
      <c r="A1948" s="624"/>
      <c r="B1948" s="617">
        <v>39095000703</v>
      </c>
      <c r="C1948" s="617" t="s">
        <v>3616</v>
      </c>
      <c r="D1948" s="617" t="s">
        <v>71</v>
      </c>
      <c r="E1948" s="617" t="s">
        <v>4855</v>
      </c>
      <c r="F1948" s="617" t="s">
        <v>26</v>
      </c>
      <c r="G1948" s="624"/>
      <c r="O1948" s="616"/>
      <c r="P1948" s="616"/>
      <c r="Q1948" s="616"/>
      <c r="AA1948" s="624"/>
      <c r="AB1948" s="663">
        <v>39095010400</v>
      </c>
      <c r="AC1948" s="663" t="s">
        <v>6880</v>
      </c>
      <c r="AD1948" s="663" t="s">
        <v>4948</v>
      </c>
      <c r="AE1948" s="663" t="s">
        <v>4942</v>
      </c>
      <c r="AF1948" s="663" t="s">
        <v>4946</v>
      </c>
    </row>
    <row r="1949" spans="1:32" s="608" customFormat="1" x14ac:dyDescent="0.25">
      <c r="A1949" s="624"/>
      <c r="B1949" s="617">
        <v>39095000800</v>
      </c>
      <c r="C1949" s="617" t="s">
        <v>3617</v>
      </c>
      <c r="D1949" s="617" t="s">
        <v>71</v>
      </c>
      <c r="E1949" s="617" t="s">
        <v>4855</v>
      </c>
      <c r="F1949" s="617" t="s">
        <v>24</v>
      </c>
      <c r="G1949" s="624"/>
      <c r="O1949" s="616"/>
      <c r="P1949" s="616"/>
      <c r="Q1949" s="616"/>
      <c r="AA1949" s="624"/>
      <c r="AB1949" s="663">
        <v>39097040101</v>
      </c>
      <c r="AC1949" s="663" t="s">
        <v>6881</v>
      </c>
      <c r="AD1949" s="663" t="s">
        <v>4938</v>
      </c>
      <c r="AE1949" s="663" t="s">
        <v>4934</v>
      </c>
      <c r="AF1949" s="663" t="s">
        <v>4929</v>
      </c>
    </row>
    <row r="1950" spans="1:32" s="608" customFormat="1" x14ac:dyDescent="0.25">
      <c r="A1950" s="624"/>
      <c r="B1950" s="617">
        <v>39095000900</v>
      </c>
      <c r="C1950" s="617" t="s">
        <v>3618</v>
      </c>
      <c r="D1950" s="617" t="s">
        <v>71</v>
      </c>
      <c r="E1950" s="617" t="s">
        <v>4855</v>
      </c>
      <c r="F1950" s="617" t="s">
        <v>24</v>
      </c>
      <c r="G1950" s="624"/>
      <c r="O1950" s="616"/>
      <c r="P1950" s="616"/>
      <c r="Q1950" s="616"/>
      <c r="AA1950" s="624"/>
      <c r="AB1950" s="663">
        <v>39097040102</v>
      </c>
      <c r="AC1950" s="663" t="s">
        <v>6882</v>
      </c>
      <c r="AD1950" s="663" t="s">
        <v>4938</v>
      </c>
      <c r="AE1950" s="663" t="s">
        <v>4939</v>
      </c>
      <c r="AF1950" s="663" t="s">
        <v>4929</v>
      </c>
    </row>
    <row r="1951" spans="1:32" s="608" customFormat="1" x14ac:dyDescent="0.25">
      <c r="A1951" s="624"/>
      <c r="B1951" s="617">
        <v>39095001001</v>
      </c>
      <c r="C1951" s="617" t="s">
        <v>3619</v>
      </c>
      <c r="D1951" s="617" t="s">
        <v>71</v>
      </c>
      <c r="E1951" s="617" t="s">
        <v>4855</v>
      </c>
      <c r="F1951" s="617" t="s">
        <v>24</v>
      </c>
      <c r="G1951" s="624"/>
      <c r="O1951" s="616"/>
      <c r="P1951" s="616"/>
      <c r="Q1951" s="616"/>
      <c r="AA1951" s="624"/>
      <c r="AB1951" s="663">
        <v>39097040201</v>
      </c>
      <c r="AC1951" s="663" t="s">
        <v>6883</v>
      </c>
      <c r="AD1951" s="663" t="s">
        <v>4948</v>
      </c>
      <c r="AE1951" s="663" t="s">
        <v>4942</v>
      </c>
      <c r="AF1951" s="663" t="s">
        <v>4929</v>
      </c>
    </row>
    <row r="1952" spans="1:32" s="608" customFormat="1" x14ac:dyDescent="0.25">
      <c r="A1952" s="624"/>
      <c r="B1952" s="617">
        <v>39095001002</v>
      </c>
      <c r="C1952" s="617" t="s">
        <v>3620</v>
      </c>
      <c r="D1952" s="617" t="s">
        <v>71</v>
      </c>
      <c r="E1952" s="617" t="s">
        <v>4855</v>
      </c>
      <c r="F1952" s="617" t="s">
        <v>24</v>
      </c>
      <c r="G1952" s="624"/>
      <c r="O1952" s="616"/>
      <c r="P1952" s="616"/>
      <c r="Q1952" s="616"/>
      <c r="AA1952" s="624"/>
      <c r="AB1952" s="663">
        <v>39097040202</v>
      </c>
      <c r="AC1952" s="663" t="s">
        <v>6884</v>
      </c>
      <c r="AD1952" s="663" t="s">
        <v>4948</v>
      </c>
      <c r="AE1952" s="663" t="s">
        <v>4928</v>
      </c>
      <c r="AF1952" s="663" t="s">
        <v>4929</v>
      </c>
    </row>
    <row r="1953" spans="1:32" s="608" customFormat="1" x14ac:dyDescent="0.25">
      <c r="A1953" s="624"/>
      <c r="B1953" s="617">
        <v>39095001100</v>
      </c>
      <c r="C1953" s="617" t="s">
        <v>3621</v>
      </c>
      <c r="D1953" s="617" t="s">
        <v>71</v>
      </c>
      <c r="E1953" s="617" t="s">
        <v>4855</v>
      </c>
      <c r="F1953" s="617" t="s">
        <v>24</v>
      </c>
      <c r="G1953" s="624"/>
      <c r="O1953" s="616"/>
      <c r="P1953" s="616"/>
      <c r="Q1953" s="616"/>
      <c r="AA1953" s="624"/>
      <c r="AB1953" s="663">
        <v>39097040400</v>
      </c>
      <c r="AC1953" s="663" t="s">
        <v>6885</v>
      </c>
      <c r="AD1953" s="663" t="s">
        <v>4938</v>
      </c>
      <c r="AE1953" s="663" t="s">
        <v>4931</v>
      </c>
      <c r="AF1953" s="663" t="s">
        <v>4929</v>
      </c>
    </row>
    <row r="1954" spans="1:32" s="608" customFormat="1" x14ac:dyDescent="0.25">
      <c r="A1954" s="624"/>
      <c r="B1954" s="617">
        <v>39095001201</v>
      </c>
      <c r="C1954" s="617" t="s">
        <v>3622</v>
      </c>
      <c r="D1954" s="617" t="s">
        <v>71</v>
      </c>
      <c r="E1954" s="617" t="s">
        <v>4855</v>
      </c>
      <c r="F1954" s="617" t="s">
        <v>26</v>
      </c>
      <c r="G1954" s="624"/>
      <c r="O1954" s="616"/>
      <c r="P1954" s="616"/>
      <c r="Q1954" s="616"/>
      <c r="AA1954" s="624"/>
      <c r="AB1954" s="663">
        <v>39097040500</v>
      </c>
      <c r="AC1954" s="663" t="s">
        <v>6886</v>
      </c>
      <c r="AD1954" s="663" t="s">
        <v>4948</v>
      </c>
      <c r="AE1954" s="663" t="s">
        <v>4931</v>
      </c>
      <c r="AF1954" s="663" t="s">
        <v>4929</v>
      </c>
    </row>
    <row r="1955" spans="1:32" s="608" customFormat="1" x14ac:dyDescent="0.25">
      <c r="A1955" s="624"/>
      <c r="B1955" s="617">
        <v>39095001202</v>
      </c>
      <c r="C1955" s="617" t="s">
        <v>3623</v>
      </c>
      <c r="D1955" s="617" t="s">
        <v>71</v>
      </c>
      <c r="E1955" s="617" t="s">
        <v>4855</v>
      </c>
      <c r="F1955" s="617" t="s">
        <v>24</v>
      </c>
      <c r="G1955" s="624"/>
      <c r="O1955" s="616"/>
      <c r="P1955" s="616"/>
      <c r="Q1955" s="616"/>
      <c r="AA1955" s="624"/>
      <c r="AB1955" s="663">
        <v>39097040600</v>
      </c>
      <c r="AC1955" s="663" t="s">
        <v>6887</v>
      </c>
      <c r="AD1955" s="663" t="s">
        <v>4941</v>
      </c>
      <c r="AE1955" s="663" t="s">
        <v>4939</v>
      </c>
      <c r="AF1955" s="663" t="s">
        <v>4929</v>
      </c>
    </row>
    <row r="1956" spans="1:32" s="608" customFormat="1" x14ac:dyDescent="0.25">
      <c r="A1956" s="624"/>
      <c r="B1956" s="617">
        <v>39095001301</v>
      </c>
      <c r="C1956" s="617" t="s">
        <v>3624</v>
      </c>
      <c r="D1956" s="617" t="s">
        <v>71</v>
      </c>
      <c r="E1956" s="617" t="s">
        <v>4855</v>
      </c>
      <c r="F1956" s="617" t="s">
        <v>26</v>
      </c>
      <c r="G1956" s="624"/>
      <c r="O1956" s="616"/>
      <c r="P1956" s="616"/>
      <c r="Q1956" s="616"/>
      <c r="AA1956" s="624"/>
      <c r="AB1956" s="663">
        <v>39097040700</v>
      </c>
      <c r="AC1956" s="663" t="s">
        <v>6888</v>
      </c>
      <c r="AD1956" s="663" t="s">
        <v>4941</v>
      </c>
      <c r="AE1956" s="663" t="s">
        <v>4939</v>
      </c>
      <c r="AF1956" s="663" t="s">
        <v>4983</v>
      </c>
    </row>
    <row r="1957" spans="1:32" s="608" customFormat="1" x14ac:dyDescent="0.25">
      <c r="A1957" s="624"/>
      <c r="B1957" s="617">
        <v>39095001302</v>
      </c>
      <c r="C1957" s="617" t="s">
        <v>3625</v>
      </c>
      <c r="D1957" s="617" t="s">
        <v>71</v>
      </c>
      <c r="E1957" s="617" t="s">
        <v>4855</v>
      </c>
      <c r="F1957" s="617" t="s">
        <v>24</v>
      </c>
      <c r="G1957" s="624"/>
      <c r="O1957" s="616"/>
      <c r="P1957" s="616"/>
      <c r="Q1957" s="616"/>
      <c r="AA1957" s="624"/>
      <c r="AB1957" s="663">
        <v>39097041000</v>
      </c>
      <c r="AC1957" s="663" t="s">
        <v>6889</v>
      </c>
      <c r="AD1957" s="663" t="s">
        <v>4941</v>
      </c>
      <c r="AE1957" s="663" t="s">
        <v>4934</v>
      </c>
      <c r="AF1957" s="663" t="s">
        <v>4929</v>
      </c>
    </row>
    <row r="1958" spans="1:32" s="608" customFormat="1" x14ac:dyDescent="0.25">
      <c r="A1958" s="624"/>
      <c r="B1958" s="617">
        <v>39095001303</v>
      </c>
      <c r="C1958" s="617" t="s">
        <v>3626</v>
      </c>
      <c r="D1958" s="617" t="s">
        <v>71</v>
      </c>
      <c r="E1958" s="617" t="s">
        <v>4855</v>
      </c>
      <c r="F1958" s="617" t="s">
        <v>26</v>
      </c>
      <c r="G1958" s="624"/>
      <c r="O1958" s="616"/>
      <c r="P1958" s="616"/>
      <c r="Q1958" s="616"/>
      <c r="AA1958" s="624"/>
      <c r="AB1958" s="663">
        <v>39097041100</v>
      </c>
      <c r="AC1958" s="663" t="s">
        <v>6890</v>
      </c>
      <c r="AD1958" s="663" t="s">
        <v>4948</v>
      </c>
      <c r="AE1958" s="663" t="s">
        <v>4934</v>
      </c>
      <c r="AF1958" s="663" t="s">
        <v>4929</v>
      </c>
    </row>
    <row r="1959" spans="1:32" s="608" customFormat="1" x14ac:dyDescent="0.25">
      <c r="A1959" s="624"/>
      <c r="B1959" s="617">
        <v>39095001400</v>
      </c>
      <c r="C1959" s="617" t="s">
        <v>3627</v>
      </c>
      <c r="D1959" s="617" t="s">
        <v>71</v>
      </c>
      <c r="E1959" s="617" t="s">
        <v>4855</v>
      </c>
      <c r="F1959" s="617" t="s">
        <v>24</v>
      </c>
      <c r="G1959" s="624"/>
      <c r="O1959" s="616"/>
      <c r="P1959" s="616"/>
      <c r="Q1959" s="616"/>
      <c r="AA1959" s="624"/>
      <c r="AB1959" s="663">
        <v>39097041200</v>
      </c>
      <c r="AC1959" s="663" t="s">
        <v>6891</v>
      </c>
      <c r="AD1959" s="663" t="s">
        <v>4950</v>
      </c>
      <c r="AE1959" s="663" t="s">
        <v>4931</v>
      </c>
      <c r="AF1959" s="663" t="s">
        <v>4929</v>
      </c>
    </row>
    <row r="1960" spans="1:32" s="608" customFormat="1" x14ac:dyDescent="0.25">
      <c r="A1960" s="624"/>
      <c r="B1960" s="617">
        <v>39095001500</v>
      </c>
      <c r="C1960" s="617" t="s">
        <v>3628</v>
      </c>
      <c r="D1960" s="617" t="s">
        <v>71</v>
      </c>
      <c r="E1960" s="617" t="s">
        <v>4855</v>
      </c>
      <c r="F1960" s="617" t="s">
        <v>24</v>
      </c>
      <c r="G1960" s="624"/>
      <c r="O1960" s="616"/>
      <c r="P1960" s="616"/>
      <c r="Q1960" s="616"/>
      <c r="AA1960" s="624"/>
      <c r="AB1960" s="663">
        <v>39097041300</v>
      </c>
      <c r="AC1960" s="663" t="s">
        <v>6892</v>
      </c>
      <c r="AD1960" s="663" t="s">
        <v>4948</v>
      </c>
      <c r="AE1960" s="663" t="s">
        <v>4934</v>
      </c>
      <c r="AF1960" s="663" t="s">
        <v>4929</v>
      </c>
    </row>
    <row r="1961" spans="1:32" s="608" customFormat="1" x14ac:dyDescent="0.25">
      <c r="A1961" s="624"/>
      <c r="B1961" s="617">
        <v>39095001601</v>
      </c>
      <c r="C1961" s="617" t="s">
        <v>3629</v>
      </c>
      <c r="D1961" s="617" t="s">
        <v>71</v>
      </c>
      <c r="E1961" s="617" t="s">
        <v>4855</v>
      </c>
      <c r="F1961" s="617" t="s">
        <v>24</v>
      </c>
      <c r="G1961" s="624"/>
      <c r="O1961" s="616"/>
      <c r="P1961" s="616"/>
      <c r="Q1961" s="616"/>
      <c r="AA1961" s="624"/>
      <c r="AB1961" s="663">
        <v>39099800300</v>
      </c>
      <c r="AC1961" s="663" t="s">
        <v>6893</v>
      </c>
      <c r="AD1961" s="663" t="s">
        <v>4927</v>
      </c>
      <c r="AE1961" s="663" t="s">
        <v>4939</v>
      </c>
      <c r="AF1961" s="663" t="s">
        <v>4946</v>
      </c>
    </row>
    <row r="1962" spans="1:32" s="608" customFormat="1" x14ac:dyDescent="0.25">
      <c r="A1962" s="624"/>
      <c r="B1962" s="617">
        <v>39095001602</v>
      </c>
      <c r="C1962" s="617" t="s">
        <v>3630</v>
      </c>
      <c r="D1962" s="617" t="s">
        <v>71</v>
      </c>
      <c r="E1962" s="617" t="s">
        <v>4855</v>
      </c>
      <c r="F1962" s="617" t="s">
        <v>24</v>
      </c>
      <c r="G1962" s="624"/>
      <c r="O1962" s="616"/>
      <c r="P1962" s="616"/>
      <c r="Q1962" s="616"/>
      <c r="AA1962" s="624"/>
      <c r="AB1962" s="663">
        <v>39099800400</v>
      </c>
      <c r="AC1962" s="663" t="s">
        <v>6894</v>
      </c>
      <c r="AD1962" s="663" t="s">
        <v>4927</v>
      </c>
      <c r="AE1962" s="663" t="s">
        <v>4928</v>
      </c>
      <c r="AF1962" s="663" t="s">
        <v>4946</v>
      </c>
    </row>
    <row r="1963" spans="1:32" s="608" customFormat="1" x14ac:dyDescent="0.25">
      <c r="A1963" s="624"/>
      <c r="B1963" s="617">
        <v>39095001700</v>
      </c>
      <c r="C1963" s="617" t="s">
        <v>3631</v>
      </c>
      <c r="D1963" s="617" t="s">
        <v>71</v>
      </c>
      <c r="E1963" s="617" t="s">
        <v>4855</v>
      </c>
      <c r="F1963" s="617" t="s">
        <v>24</v>
      </c>
      <c r="G1963" s="624"/>
      <c r="O1963" s="616"/>
      <c r="P1963" s="616"/>
      <c r="Q1963" s="616"/>
      <c r="AA1963" s="624"/>
      <c r="AB1963" s="663">
        <v>39099800500</v>
      </c>
      <c r="AC1963" s="663" t="s">
        <v>6895</v>
      </c>
      <c r="AD1963" s="663" t="s">
        <v>4927</v>
      </c>
      <c r="AE1963" s="663" t="s">
        <v>4928</v>
      </c>
      <c r="AF1963" s="663" t="s">
        <v>4946</v>
      </c>
    </row>
    <row r="1964" spans="1:32" s="608" customFormat="1" x14ac:dyDescent="0.25">
      <c r="A1964" s="624"/>
      <c r="B1964" s="617">
        <v>39095001800</v>
      </c>
      <c r="C1964" s="617" t="s">
        <v>3632</v>
      </c>
      <c r="D1964" s="617" t="s">
        <v>71</v>
      </c>
      <c r="E1964" s="617" t="s">
        <v>4855</v>
      </c>
      <c r="F1964" s="617" t="s">
        <v>24</v>
      </c>
      <c r="G1964" s="624"/>
      <c r="O1964" s="616"/>
      <c r="P1964" s="616"/>
      <c r="Q1964" s="616"/>
      <c r="AA1964" s="624"/>
      <c r="AB1964" s="663">
        <v>39099800600</v>
      </c>
      <c r="AC1964" s="663" t="s">
        <v>6896</v>
      </c>
      <c r="AD1964" s="663" t="s">
        <v>4927</v>
      </c>
      <c r="AE1964" s="663" t="s">
        <v>4942</v>
      </c>
      <c r="AF1964" s="663" t="s">
        <v>4962</v>
      </c>
    </row>
    <row r="1965" spans="1:32" s="608" customFormat="1" x14ac:dyDescent="0.25">
      <c r="A1965" s="624"/>
      <c r="B1965" s="617">
        <v>39095001900</v>
      </c>
      <c r="C1965" s="617" t="s">
        <v>3633</v>
      </c>
      <c r="D1965" s="617" t="s">
        <v>71</v>
      </c>
      <c r="E1965" s="617" t="s">
        <v>4855</v>
      </c>
      <c r="F1965" s="617" t="s">
        <v>24</v>
      </c>
      <c r="G1965" s="624"/>
      <c r="O1965" s="616"/>
      <c r="P1965" s="616"/>
      <c r="Q1965" s="616"/>
      <c r="AA1965" s="624"/>
      <c r="AB1965" s="663">
        <v>39099801000</v>
      </c>
      <c r="AC1965" s="663" t="s">
        <v>6897</v>
      </c>
      <c r="AD1965" s="663" t="s">
        <v>4948</v>
      </c>
      <c r="AE1965" s="663" t="s">
        <v>4931</v>
      </c>
      <c r="AF1965" s="663" t="s">
        <v>4962</v>
      </c>
    </row>
    <row r="1966" spans="1:32" s="608" customFormat="1" x14ac:dyDescent="0.25">
      <c r="A1966" s="624"/>
      <c r="B1966" s="617">
        <v>39095002000</v>
      </c>
      <c r="C1966" s="617" t="s">
        <v>3634</v>
      </c>
      <c r="D1966" s="617" t="s">
        <v>71</v>
      </c>
      <c r="E1966" s="617" t="s">
        <v>4855</v>
      </c>
      <c r="F1966" s="617" t="s">
        <v>24</v>
      </c>
      <c r="G1966" s="624"/>
      <c r="O1966" s="616"/>
      <c r="P1966" s="616"/>
      <c r="Q1966" s="616"/>
      <c r="AA1966" s="624"/>
      <c r="AB1966" s="663">
        <v>39099801100</v>
      </c>
      <c r="AC1966" s="663" t="s">
        <v>6898</v>
      </c>
      <c r="AD1966" s="663" t="s">
        <v>4950</v>
      </c>
      <c r="AE1966" s="663" t="s">
        <v>4942</v>
      </c>
      <c r="AF1966" s="663" t="s">
        <v>4962</v>
      </c>
    </row>
    <row r="1967" spans="1:32" s="608" customFormat="1" x14ac:dyDescent="0.25">
      <c r="A1967" s="624"/>
      <c r="B1967" s="617">
        <v>39095002100</v>
      </c>
      <c r="C1967" s="617" t="s">
        <v>3635</v>
      </c>
      <c r="D1967" s="617" t="s">
        <v>71</v>
      </c>
      <c r="E1967" s="617" t="s">
        <v>4855</v>
      </c>
      <c r="F1967" s="617" t="s">
        <v>24</v>
      </c>
      <c r="G1967" s="624"/>
      <c r="O1967" s="616"/>
      <c r="P1967" s="616"/>
      <c r="Q1967" s="616"/>
      <c r="AA1967" s="624"/>
      <c r="AB1967" s="663">
        <v>39099801200</v>
      </c>
      <c r="AC1967" s="663" t="s">
        <v>6899</v>
      </c>
      <c r="AD1967" s="663" t="s">
        <v>4950</v>
      </c>
      <c r="AE1967" s="663" t="s">
        <v>4942</v>
      </c>
      <c r="AF1967" s="663" t="s">
        <v>4962</v>
      </c>
    </row>
    <row r="1968" spans="1:32" s="608" customFormat="1" x14ac:dyDescent="0.25">
      <c r="A1968" s="624"/>
      <c r="B1968" s="617">
        <v>39095002401</v>
      </c>
      <c r="C1968" s="617" t="s">
        <v>3636</v>
      </c>
      <c r="D1968" s="617" t="s">
        <v>71</v>
      </c>
      <c r="E1968" s="617" t="s">
        <v>4855</v>
      </c>
      <c r="F1968" s="617" t="s">
        <v>24</v>
      </c>
      <c r="G1968" s="624"/>
      <c r="O1968" s="616"/>
      <c r="P1968" s="616"/>
      <c r="Q1968" s="616"/>
      <c r="AA1968" s="624"/>
      <c r="AB1968" s="663">
        <v>39099801300</v>
      </c>
      <c r="AC1968" s="663" t="s">
        <v>6900</v>
      </c>
      <c r="AD1968" s="663" t="s">
        <v>4950</v>
      </c>
      <c r="AE1968" s="663" t="s">
        <v>4934</v>
      </c>
      <c r="AF1968" s="663" t="s">
        <v>4962</v>
      </c>
    </row>
    <row r="1969" spans="1:32" s="608" customFormat="1" x14ac:dyDescent="0.25">
      <c r="A1969" s="624"/>
      <c r="B1969" s="617">
        <v>39095002402</v>
      </c>
      <c r="C1969" s="617" t="s">
        <v>3637</v>
      </c>
      <c r="D1969" s="617" t="s">
        <v>71</v>
      </c>
      <c r="E1969" s="617" t="s">
        <v>4855</v>
      </c>
      <c r="F1969" s="617" t="s">
        <v>24</v>
      </c>
      <c r="G1969" s="624"/>
      <c r="O1969" s="616"/>
      <c r="P1969" s="616"/>
      <c r="Q1969" s="616"/>
      <c r="AA1969" s="624"/>
      <c r="AB1969" s="663">
        <v>39099801400</v>
      </c>
      <c r="AC1969" s="663" t="s">
        <v>6901</v>
      </c>
      <c r="AD1969" s="663" t="s">
        <v>4941</v>
      </c>
      <c r="AE1969" s="663" t="s">
        <v>4942</v>
      </c>
      <c r="AF1969" s="663" t="s">
        <v>4962</v>
      </c>
    </row>
    <row r="1970" spans="1:32" s="608" customFormat="1" x14ac:dyDescent="0.25">
      <c r="A1970" s="624"/>
      <c r="B1970" s="617">
        <v>39095002500</v>
      </c>
      <c r="C1970" s="617" t="s">
        <v>3638</v>
      </c>
      <c r="D1970" s="617" t="s">
        <v>71</v>
      </c>
      <c r="E1970" s="617" t="s">
        <v>4855</v>
      </c>
      <c r="F1970" s="617" t="s">
        <v>24</v>
      </c>
      <c r="G1970" s="624"/>
      <c r="O1970" s="616"/>
      <c r="P1970" s="616"/>
      <c r="Q1970" s="616"/>
      <c r="AA1970" s="624"/>
      <c r="AB1970" s="663">
        <v>39099801500</v>
      </c>
      <c r="AC1970" s="663" t="s">
        <v>6902</v>
      </c>
      <c r="AD1970" s="663" t="s">
        <v>4941</v>
      </c>
      <c r="AE1970" s="663" t="s">
        <v>4939</v>
      </c>
      <c r="AF1970" s="663" t="s">
        <v>4962</v>
      </c>
    </row>
    <row r="1971" spans="1:32" s="608" customFormat="1" x14ac:dyDescent="0.25">
      <c r="A1971" s="624"/>
      <c r="B1971" s="617">
        <v>39095002600</v>
      </c>
      <c r="C1971" s="617" t="s">
        <v>3639</v>
      </c>
      <c r="D1971" s="617" t="s">
        <v>71</v>
      </c>
      <c r="E1971" s="617" t="s">
        <v>4855</v>
      </c>
      <c r="F1971" s="617" t="s">
        <v>26</v>
      </c>
      <c r="G1971" s="624"/>
      <c r="O1971" s="616"/>
      <c r="P1971" s="616"/>
      <c r="Q1971" s="616"/>
      <c r="AA1971" s="624"/>
      <c r="AB1971" s="663">
        <v>39099801600</v>
      </c>
      <c r="AC1971" s="663" t="s">
        <v>6903</v>
      </c>
      <c r="AD1971" s="663" t="s">
        <v>4927</v>
      </c>
      <c r="AE1971" s="663" t="s">
        <v>4928</v>
      </c>
      <c r="AF1971" s="663" t="s">
        <v>4962</v>
      </c>
    </row>
    <row r="1972" spans="1:32" s="608" customFormat="1" x14ac:dyDescent="0.25">
      <c r="A1972" s="624"/>
      <c r="B1972" s="617">
        <v>39095002700</v>
      </c>
      <c r="C1972" s="617" t="s">
        <v>3640</v>
      </c>
      <c r="D1972" s="617" t="s">
        <v>71</v>
      </c>
      <c r="E1972" s="617" t="s">
        <v>4855</v>
      </c>
      <c r="F1972" s="617" t="s">
        <v>24</v>
      </c>
      <c r="G1972" s="624"/>
      <c r="O1972" s="616"/>
      <c r="P1972" s="616"/>
      <c r="Q1972" s="616"/>
      <c r="AA1972" s="624"/>
      <c r="AB1972" s="663">
        <v>39099801700</v>
      </c>
      <c r="AC1972" s="663" t="s">
        <v>6904</v>
      </c>
      <c r="AD1972" s="663" t="s">
        <v>4948</v>
      </c>
      <c r="AE1972" s="663" t="s">
        <v>4939</v>
      </c>
      <c r="AF1972" s="663" t="s">
        <v>4962</v>
      </c>
    </row>
    <row r="1973" spans="1:32" s="608" customFormat="1" x14ac:dyDescent="0.25">
      <c r="A1973" s="624"/>
      <c r="B1973" s="617">
        <v>39095002800</v>
      </c>
      <c r="C1973" s="617" t="s">
        <v>3641</v>
      </c>
      <c r="D1973" s="617" t="s">
        <v>71</v>
      </c>
      <c r="E1973" s="617" t="s">
        <v>4855</v>
      </c>
      <c r="F1973" s="617" t="s">
        <v>24</v>
      </c>
      <c r="G1973" s="624"/>
      <c r="O1973" s="616"/>
      <c r="P1973" s="616"/>
      <c r="Q1973" s="616"/>
      <c r="AA1973" s="624"/>
      <c r="AB1973" s="663">
        <v>39099802100</v>
      </c>
      <c r="AC1973" s="663" t="s">
        <v>6905</v>
      </c>
      <c r="AD1973" s="663" t="s">
        <v>4927</v>
      </c>
      <c r="AE1973" s="663" t="s">
        <v>4934</v>
      </c>
      <c r="AF1973" s="663" t="s">
        <v>4962</v>
      </c>
    </row>
    <row r="1974" spans="1:32" s="608" customFormat="1" x14ac:dyDescent="0.25">
      <c r="A1974" s="624"/>
      <c r="B1974" s="617">
        <v>39095002900</v>
      </c>
      <c r="C1974" s="617" t="s">
        <v>3642</v>
      </c>
      <c r="D1974" s="617" t="s">
        <v>71</v>
      </c>
      <c r="E1974" s="617" t="s">
        <v>4855</v>
      </c>
      <c r="F1974" s="617" t="s">
        <v>24</v>
      </c>
      <c r="G1974" s="624"/>
      <c r="O1974" s="616"/>
      <c r="P1974" s="616"/>
      <c r="Q1974" s="616"/>
      <c r="AA1974" s="624"/>
      <c r="AB1974" s="663">
        <v>39099802300</v>
      </c>
      <c r="AC1974" s="663" t="s">
        <v>6906</v>
      </c>
      <c r="AD1974" s="663" t="s">
        <v>4950</v>
      </c>
      <c r="AE1974" s="663" t="s">
        <v>4942</v>
      </c>
      <c r="AF1974" s="663" t="s">
        <v>4962</v>
      </c>
    </row>
    <row r="1975" spans="1:32" s="608" customFormat="1" x14ac:dyDescent="0.25">
      <c r="A1975" s="624"/>
      <c r="B1975" s="617">
        <v>39095003000</v>
      </c>
      <c r="C1975" s="617" t="s">
        <v>3643</v>
      </c>
      <c r="D1975" s="617" t="s">
        <v>71</v>
      </c>
      <c r="E1975" s="617" t="s">
        <v>4855</v>
      </c>
      <c r="F1975" s="617" t="s">
        <v>24</v>
      </c>
      <c r="G1975" s="624"/>
      <c r="O1975" s="616"/>
      <c r="P1975" s="616"/>
      <c r="Q1975" s="616"/>
      <c r="AA1975" s="624"/>
      <c r="AB1975" s="663">
        <v>39099802400</v>
      </c>
      <c r="AC1975" s="663" t="s">
        <v>6907</v>
      </c>
      <c r="AD1975" s="663" t="s">
        <v>4927</v>
      </c>
      <c r="AE1975" s="663" t="s">
        <v>4934</v>
      </c>
      <c r="AF1975" s="663" t="s">
        <v>4962</v>
      </c>
    </row>
    <row r="1976" spans="1:32" s="608" customFormat="1" x14ac:dyDescent="0.25">
      <c r="A1976" s="624"/>
      <c r="B1976" s="617">
        <v>39095003100</v>
      </c>
      <c r="C1976" s="617" t="s">
        <v>3644</v>
      </c>
      <c r="D1976" s="617" t="s">
        <v>71</v>
      </c>
      <c r="E1976" s="617" t="s">
        <v>4855</v>
      </c>
      <c r="F1976" s="617" t="s">
        <v>26</v>
      </c>
      <c r="G1976" s="624"/>
      <c r="O1976" s="616"/>
      <c r="P1976" s="616"/>
      <c r="Q1976" s="616"/>
      <c r="AA1976" s="624"/>
      <c r="AB1976" s="663">
        <v>39099802500</v>
      </c>
      <c r="AC1976" s="663" t="s">
        <v>6908</v>
      </c>
      <c r="AD1976" s="663" t="s">
        <v>4950</v>
      </c>
      <c r="AE1976" s="663" t="s">
        <v>4928</v>
      </c>
      <c r="AF1976" s="663" t="s">
        <v>4962</v>
      </c>
    </row>
    <row r="1977" spans="1:32" s="608" customFormat="1" x14ac:dyDescent="0.25">
      <c r="A1977" s="624"/>
      <c r="B1977" s="617">
        <v>39095003200</v>
      </c>
      <c r="C1977" s="617" t="s">
        <v>3645</v>
      </c>
      <c r="D1977" s="617" t="s">
        <v>71</v>
      </c>
      <c r="E1977" s="617" t="s">
        <v>4855</v>
      </c>
      <c r="F1977" s="617" t="s">
        <v>24</v>
      </c>
      <c r="G1977" s="624"/>
      <c r="O1977" s="616"/>
      <c r="P1977" s="616"/>
      <c r="Q1977" s="616"/>
      <c r="AA1977" s="624"/>
      <c r="AB1977" s="663">
        <v>39099802600</v>
      </c>
      <c r="AC1977" s="663" t="s">
        <v>6909</v>
      </c>
      <c r="AD1977" s="663" t="s">
        <v>4941</v>
      </c>
      <c r="AE1977" s="663" t="s">
        <v>4934</v>
      </c>
      <c r="AF1977" s="663" t="s">
        <v>4962</v>
      </c>
    </row>
    <row r="1978" spans="1:32" s="608" customFormat="1" x14ac:dyDescent="0.25">
      <c r="A1978" s="624"/>
      <c r="B1978" s="617">
        <v>39095003300</v>
      </c>
      <c r="C1978" s="617" t="s">
        <v>3646</v>
      </c>
      <c r="D1978" s="617" t="s">
        <v>71</v>
      </c>
      <c r="E1978" s="617" t="s">
        <v>4855</v>
      </c>
      <c r="F1978" s="617" t="s">
        <v>24</v>
      </c>
      <c r="G1978" s="624"/>
      <c r="O1978" s="616"/>
      <c r="P1978" s="616"/>
      <c r="Q1978" s="616"/>
      <c r="AA1978" s="624"/>
      <c r="AB1978" s="663">
        <v>39099802701</v>
      </c>
      <c r="AC1978" s="663" t="s">
        <v>6910</v>
      </c>
      <c r="AD1978" s="663" t="s">
        <v>4927</v>
      </c>
      <c r="AE1978" s="663" t="s">
        <v>4928</v>
      </c>
      <c r="AF1978" s="663" t="s">
        <v>4946</v>
      </c>
    </row>
    <row r="1979" spans="1:32" s="608" customFormat="1" x14ac:dyDescent="0.25">
      <c r="A1979" s="624"/>
      <c r="B1979" s="617">
        <v>39095003500</v>
      </c>
      <c r="C1979" s="617" t="s">
        <v>3647</v>
      </c>
      <c r="D1979" s="617" t="s">
        <v>71</v>
      </c>
      <c r="E1979" s="617" t="s">
        <v>4855</v>
      </c>
      <c r="F1979" s="617" t="s">
        <v>26</v>
      </c>
      <c r="G1979" s="624"/>
      <c r="O1979" s="616"/>
      <c r="P1979" s="616"/>
      <c r="Q1979" s="616"/>
      <c r="AA1979" s="624"/>
      <c r="AB1979" s="663">
        <v>39099802702</v>
      </c>
      <c r="AC1979" s="663" t="s">
        <v>6911</v>
      </c>
      <c r="AD1979" s="663" t="s">
        <v>4950</v>
      </c>
      <c r="AE1979" s="663" t="s">
        <v>4928</v>
      </c>
      <c r="AF1979" s="663" t="s">
        <v>4946</v>
      </c>
    </row>
    <row r="1980" spans="1:32" s="608" customFormat="1" x14ac:dyDescent="0.25">
      <c r="A1980" s="624"/>
      <c r="B1980" s="617">
        <v>39095003600</v>
      </c>
      <c r="C1980" s="617" t="s">
        <v>3648</v>
      </c>
      <c r="D1980" s="617" t="s">
        <v>71</v>
      </c>
      <c r="E1980" s="617" t="s">
        <v>4855</v>
      </c>
      <c r="F1980" s="617" t="s">
        <v>24</v>
      </c>
      <c r="G1980" s="624"/>
      <c r="O1980" s="616"/>
      <c r="P1980" s="616"/>
      <c r="Q1980" s="616"/>
      <c r="AA1980" s="624"/>
      <c r="AB1980" s="663">
        <v>39099802800</v>
      </c>
      <c r="AC1980" s="663" t="s">
        <v>6912</v>
      </c>
      <c r="AD1980" s="663" t="s">
        <v>4941</v>
      </c>
      <c r="AE1980" s="663" t="s">
        <v>4942</v>
      </c>
      <c r="AF1980" s="663" t="s">
        <v>4962</v>
      </c>
    </row>
    <row r="1981" spans="1:32" s="608" customFormat="1" x14ac:dyDescent="0.25">
      <c r="A1981" s="624"/>
      <c r="B1981" s="617">
        <v>39095003901</v>
      </c>
      <c r="C1981" s="617" t="s">
        <v>3649</v>
      </c>
      <c r="D1981" s="617" t="s">
        <v>71</v>
      </c>
      <c r="E1981" s="617" t="s">
        <v>4855</v>
      </c>
      <c r="F1981" s="617" t="s">
        <v>26</v>
      </c>
      <c r="G1981" s="624"/>
      <c r="O1981" s="616"/>
      <c r="P1981" s="616"/>
      <c r="Q1981" s="616"/>
      <c r="AA1981" s="624"/>
      <c r="AB1981" s="663">
        <v>39099802900</v>
      </c>
      <c r="AC1981" s="663" t="s">
        <v>6913</v>
      </c>
      <c r="AD1981" s="663" t="s">
        <v>4948</v>
      </c>
      <c r="AE1981" s="663" t="s">
        <v>4928</v>
      </c>
      <c r="AF1981" s="663" t="s">
        <v>4962</v>
      </c>
    </row>
    <row r="1982" spans="1:32" s="608" customFormat="1" x14ac:dyDescent="0.25">
      <c r="A1982" s="624"/>
      <c r="B1982" s="617">
        <v>39095003902</v>
      </c>
      <c r="C1982" s="617" t="s">
        <v>3650</v>
      </c>
      <c r="D1982" s="617" t="s">
        <v>71</v>
      </c>
      <c r="E1982" s="617" t="s">
        <v>4855</v>
      </c>
      <c r="F1982" s="617" t="s">
        <v>26</v>
      </c>
      <c r="G1982" s="624"/>
      <c r="O1982" s="616"/>
      <c r="P1982" s="616"/>
      <c r="Q1982" s="616"/>
      <c r="AA1982" s="624"/>
      <c r="AB1982" s="663">
        <v>39099803000</v>
      </c>
      <c r="AC1982" s="663" t="s">
        <v>6914</v>
      </c>
      <c r="AD1982" s="663" t="s">
        <v>4948</v>
      </c>
      <c r="AE1982" s="663" t="s">
        <v>5006</v>
      </c>
      <c r="AF1982" s="663" t="s">
        <v>4962</v>
      </c>
    </row>
    <row r="1983" spans="1:32" s="608" customFormat="1" x14ac:dyDescent="0.25">
      <c r="A1983" s="624"/>
      <c r="B1983" s="617">
        <v>39095004000</v>
      </c>
      <c r="C1983" s="617" t="s">
        <v>3651</v>
      </c>
      <c r="D1983" s="617" t="s">
        <v>71</v>
      </c>
      <c r="E1983" s="617" t="s">
        <v>4855</v>
      </c>
      <c r="F1983" s="617" t="s">
        <v>24</v>
      </c>
      <c r="G1983" s="624"/>
      <c r="O1983" s="616"/>
      <c r="P1983" s="616"/>
      <c r="Q1983" s="616"/>
      <c r="AA1983" s="624"/>
      <c r="AB1983" s="663">
        <v>39099804000</v>
      </c>
      <c r="AC1983" s="663" t="s">
        <v>6915</v>
      </c>
      <c r="AD1983" s="663" t="s">
        <v>4950</v>
      </c>
      <c r="AE1983" s="663" t="s">
        <v>4939</v>
      </c>
      <c r="AF1983" s="663" t="s">
        <v>4962</v>
      </c>
    </row>
    <row r="1984" spans="1:32" s="608" customFormat="1" x14ac:dyDescent="0.25">
      <c r="A1984" s="624"/>
      <c r="B1984" s="617">
        <v>39095004200</v>
      </c>
      <c r="C1984" s="617" t="s">
        <v>3652</v>
      </c>
      <c r="D1984" s="617" t="s">
        <v>71</v>
      </c>
      <c r="E1984" s="617" t="s">
        <v>4855</v>
      </c>
      <c r="F1984" s="617" t="s">
        <v>24</v>
      </c>
      <c r="G1984" s="624"/>
      <c r="O1984" s="616"/>
      <c r="P1984" s="616"/>
      <c r="Q1984" s="616"/>
      <c r="AA1984" s="624"/>
      <c r="AB1984" s="663">
        <v>39099804100</v>
      </c>
      <c r="AC1984" s="663" t="s">
        <v>6916</v>
      </c>
      <c r="AD1984" s="663" t="s">
        <v>4938</v>
      </c>
      <c r="AE1984" s="663" t="s">
        <v>4931</v>
      </c>
      <c r="AF1984" s="663" t="s">
        <v>4962</v>
      </c>
    </row>
    <row r="1985" spans="1:32" s="608" customFormat="1" x14ac:dyDescent="0.25">
      <c r="A1985" s="624"/>
      <c r="B1985" s="617">
        <v>39095004401</v>
      </c>
      <c r="C1985" s="617" t="s">
        <v>3653</v>
      </c>
      <c r="D1985" s="617" t="s">
        <v>71</v>
      </c>
      <c r="E1985" s="617" t="s">
        <v>4855</v>
      </c>
      <c r="F1985" s="617" t="s">
        <v>24</v>
      </c>
      <c r="G1985" s="624"/>
      <c r="O1985" s="616"/>
      <c r="P1985" s="616"/>
      <c r="Q1985" s="616"/>
      <c r="AA1985" s="624"/>
      <c r="AB1985" s="663">
        <v>39099804200</v>
      </c>
      <c r="AC1985" s="663" t="s">
        <v>6917</v>
      </c>
      <c r="AD1985" s="663" t="s">
        <v>4938</v>
      </c>
      <c r="AE1985" s="663" t="s">
        <v>4942</v>
      </c>
      <c r="AF1985" s="663" t="s">
        <v>4962</v>
      </c>
    </row>
    <row r="1986" spans="1:32" s="608" customFormat="1" x14ac:dyDescent="0.25">
      <c r="A1986" s="624"/>
      <c r="B1986" s="617">
        <v>39095004402</v>
      </c>
      <c r="C1986" s="617" t="s">
        <v>3654</v>
      </c>
      <c r="D1986" s="617" t="s">
        <v>71</v>
      </c>
      <c r="E1986" s="617" t="s">
        <v>4855</v>
      </c>
      <c r="F1986" s="617" t="s">
        <v>24</v>
      </c>
      <c r="G1986" s="624"/>
      <c r="O1986" s="616"/>
      <c r="P1986" s="616"/>
      <c r="Q1986" s="616"/>
      <c r="AA1986" s="624"/>
      <c r="AB1986" s="663">
        <v>39099804300</v>
      </c>
      <c r="AC1986" s="663" t="s">
        <v>6918</v>
      </c>
      <c r="AD1986" s="663" t="s">
        <v>4948</v>
      </c>
      <c r="AE1986" s="663" t="s">
        <v>4931</v>
      </c>
      <c r="AF1986" s="663" t="s">
        <v>4962</v>
      </c>
    </row>
    <row r="1987" spans="1:32" s="608" customFormat="1" x14ac:dyDescent="0.25">
      <c r="A1987" s="624"/>
      <c r="B1987" s="617">
        <v>39095004501</v>
      </c>
      <c r="C1987" s="617" t="s">
        <v>3655</v>
      </c>
      <c r="D1987" s="617" t="s">
        <v>71</v>
      </c>
      <c r="E1987" s="617" t="s">
        <v>4855</v>
      </c>
      <c r="F1987" s="617" t="s">
        <v>26</v>
      </c>
      <c r="G1987" s="624"/>
      <c r="O1987" s="616"/>
      <c r="P1987" s="616"/>
      <c r="Q1987" s="616"/>
      <c r="AA1987" s="624"/>
      <c r="AB1987" s="663">
        <v>39099810100</v>
      </c>
      <c r="AC1987" s="663" t="s">
        <v>6919</v>
      </c>
      <c r="AD1987" s="663" t="s">
        <v>4950</v>
      </c>
      <c r="AE1987" s="663" t="s">
        <v>4928</v>
      </c>
      <c r="AF1987" s="663" t="s">
        <v>4946</v>
      </c>
    </row>
    <row r="1988" spans="1:32" s="608" customFormat="1" x14ac:dyDescent="0.25">
      <c r="A1988" s="624"/>
      <c r="B1988" s="617">
        <v>39095004503</v>
      </c>
      <c r="C1988" s="617" t="s">
        <v>3656</v>
      </c>
      <c r="D1988" s="617" t="s">
        <v>71</v>
      </c>
      <c r="E1988" s="617" t="s">
        <v>4855</v>
      </c>
      <c r="F1988" s="617" t="s">
        <v>26</v>
      </c>
      <c r="G1988" s="624"/>
      <c r="O1988" s="616"/>
      <c r="P1988" s="616"/>
      <c r="Q1988" s="616"/>
      <c r="AA1988" s="624"/>
      <c r="AB1988" s="663">
        <v>39099810200</v>
      </c>
      <c r="AC1988" s="663" t="s">
        <v>6920</v>
      </c>
      <c r="AD1988" s="663" t="s">
        <v>4927</v>
      </c>
      <c r="AE1988" s="663" t="s">
        <v>4928</v>
      </c>
      <c r="AF1988" s="663" t="s">
        <v>4946</v>
      </c>
    </row>
    <row r="1989" spans="1:32" s="608" customFormat="1" x14ac:dyDescent="0.25">
      <c r="A1989" s="624"/>
      <c r="B1989" s="617">
        <v>39095004504</v>
      </c>
      <c r="C1989" s="617" t="s">
        <v>3657</v>
      </c>
      <c r="D1989" s="617" t="s">
        <v>71</v>
      </c>
      <c r="E1989" s="617" t="s">
        <v>4855</v>
      </c>
      <c r="F1989" s="617" t="s">
        <v>26</v>
      </c>
      <c r="G1989" s="624"/>
      <c r="O1989" s="616"/>
      <c r="P1989" s="616"/>
      <c r="Q1989" s="616"/>
      <c r="AA1989" s="624"/>
      <c r="AB1989" s="663">
        <v>39099810300</v>
      </c>
      <c r="AC1989" s="663" t="s">
        <v>6921</v>
      </c>
      <c r="AD1989" s="663" t="s">
        <v>4927</v>
      </c>
      <c r="AE1989" s="663" t="s">
        <v>4928</v>
      </c>
      <c r="AF1989" s="663" t="s">
        <v>4946</v>
      </c>
    </row>
    <row r="1990" spans="1:32" s="608" customFormat="1" x14ac:dyDescent="0.25">
      <c r="A1990" s="624"/>
      <c r="B1990" s="617">
        <v>39095004600</v>
      </c>
      <c r="C1990" s="617" t="s">
        <v>3658</v>
      </c>
      <c r="D1990" s="617" t="s">
        <v>71</v>
      </c>
      <c r="E1990" s="617" t="s">
        <v>4855</v>
      </c>
      <c r="F1990" s="617" t="s">
        <v>24</v>
      </c>
      <c r="G1990" s="624"/>
      <c r="O1990" s="616"/>
      <c r="P1990" s="616"/>
      <c r="Q1990" s="616"/>
      <c r="AA1990" s="624"/>
      <c r="AB1990" s="663">
        <v>39099810600</v>
      </c>
      <c r="AC1990" s="663" t="s">
        <v>6922</v>
      </c>
      <c r="AD1990" s="663" t="s">
        <v>4927</v>
      </c>
      <c r="AE1990" s="663" t="s">
        <v>4934</v>
      </c>
      <c r="AF1990" s="663" t="s">
        <v>4946</v>
      </c>
    </row>
    <row r="1991" spans="1:32" s="608" customFormat="1" x14ac:dyDescent="0.25">
      <c r="A1991" s="624"/>
      <c r="B1991" s="617">
        <v>39095004701</v>
      </c>
      <c r="C1991" s="617" t="s">
        <v>3659</v>
      </c>
      <c r="D1991" s="617" t="s">
        <v>71</v>
      </c>
      <c r="E1991" s="617" t="s">
        <v>4855</v>
      </c>
      <c r="F1991" s="617" t="s">
        <v>24</v>
      </c>
      <c r="G1991" s="624"/>
      <c r="O1991" s="616"/>
      <c r="P1991" s="616"/>
      <c r="Q1991" s="616"/>
      <c r="AA1991" s="624"/>
      <c r="AB1991" s="663">
        <v>39099810700</v>
      </c>
      <c r="AC1991" s="663" t="s">
        <v>6923</v>
      </c>
      <c r="AD1991" s="663" t="s">
        <v>4950</v>
      </c>
      <c r="AE1991" s="663" t="s">
        <v>4942</v>
      </c>
      <c r="AF1991" s="663" t="s">
        <v>4946</v>
      </c>
    </row>
    <row r="1992" spans="1:32" s="608" customFormat="1" x14ac:dyDescent="0.25">
      <c r="A1992" s="624"/>
      <c r="B1992" s="617">
        <v>39095004702</v>
      </c>
      <c r="C1992" s="617" t="s">
        <v>3660</v>
      </c>
      <c r="D1992" s="617" t="s">
        <v>71</v>
      </c>
      <c r="E1992" s="617" t="s">
        <v>4855</v>
      </c>
      <c r="F1992" s="617" t="s">
        <v>24</v>
      </c>
      <c r="G1992" s="624"/>
      <c r="O1992" s="616"/>
      <c r="P1992" s="616"/>
      <c r="Q1992" s="616"/>
      <c r="AA1992" s="624"/>
      <c r="AB1992" s="663">
        <v>39099810800</v>
      </c>
      <c r="AC1992" s="663" t="s">
        <v>6924</v>
      </c>
      <c r="AD1992" s="663" t="s">
        <v>4950</v>
      </c>
      <c r="AE1992" s="663" t="s">
        <v>4934</v>
      </c>
      <c r="AF1992" s="663" t="s">
        <v>4946</v>
      </c>
    </row>
    <row r="1993" spans="1:32" s="608" customFormat="1" x14ac:dyDescent="0.25">
      <c r="A1993" s="624"/>
      <c r="B1993" s="617">
        <v>39095004800</v>
      </c>
      <c r="C1993" s="617" t="s">
        <v>3661</v>
      </c>
      <c r="D1993" s="617" t="s">
        <v>71</v>
      </c>
      <c r="E1993" s="617" t="s">
        <v>4855</v>
      </c>
      <c r="F1993" s="617" t="s">
        <v>24</v>
      </c>
      <c r="G1993" s="624"/>
      <c r="O1993" s="616"/>
      <c r="P1993" s="616"/>
      <c r="Q1993" s="616"/>
      <c r="AA1993" s="624"/>
      <c r="AB1993" s="663">
        <v>39099810900</v>
      </c>
      <c r="AC1993" s="663" t="s">
        <v>6925</v>
      </c>
      <c r="AD1993" s="663" t="s">
        <v>4950</v>
      </c>
      <c r="AE1993" s="663" t="s">
        <v>4928</v>
      </c>
      <c r="AF1993" s="663" t="s">
        <v>4929</v>
      </c>
    </row>
    <row r="1994" spans="1:32" s="608" customFormat="1" x14ac:dyDescent="0.25">
      <c r="A1994" s="624"/>
      <c r="B1994" s="617">
        <v>39095004900</v>
      </c>
      <c r="C1994" s="617" t="s">
        <v>3662</v>
      </c>
      <c r="D1994" s="617" t="s">
        <v>71</v>
      </c>
      <c r="E1994" s="617" t="s">
        <v>4855</v>
      </c>
      <c r="F1994" s="617" t="s">
        <v>24</v>
      </c>
      <c r="G1994" s="624"/>
      <c r="O1994" s="616"/>
      <c r="P1994" s="616"/>
      <c r="Q1994" s="616"/>
      <c r="AA1994" s="624"/>
      <c r="AB1994" s="663">
        <v>39099811001</v>
      </c>
      <c r="AC1994" s="663" t="s">
        <v>6926</v>
      </c>
      <c r="AD1994" s="663" t="s">
        <v>4938</v>
      </c>
      <c r="AE1994" s="663" t="s">
        <v>4931</v>
      </c>
      <c r="AF1994" s="663" t="s">
        <v>4929</v>
      </c>
    </row>
    <row r="1995" spans="1:32" s="608" customFormat="1" x14ac:dyDescent="0.25">
      <c r="A1995" s="624"/>
      <c r="B1995" s="617">
        <v>39095005000</v>
      </c>
      <c r="C1995" s="617" t="s">
        <v>3663</v>
      </c>
      <c r="D1995" s="617" t="s">
        <v>71</v>
      </c>
      <c r="E1995" s="617" t="s">
        <v>4855</v>
      </c>
      <c r="F1995" s="617" t="s">
        <v>26</v>
      </c>
      <c r="G1995" s="624"/>
      <c r="O1995" s="616"/>
      <c r="P1995" s="616"/>
      <c r="Q1995" s="616"/>
      <c r="AA1995" s="624"/>
      <c r="AB1995" s="663">
        <v>39099811002</v>
      </c>
      <c r="AC1995" s="663" t="s">
        <v>6927</v>
      </c>
      <c r="AD1995" s="663" t="s">
        <v>4938</v>
      </c>
      <c r="AE1995" s="663" t="s">
        <v>4942</v>
      </c>
      <c r="AF1995" s="663" t="s">
        <v>4929</v>
      </c>
    </row>
    <row r="1996" spans="1:32" s="608" customFormat="1" x14ac:dyDescent="0.25">
      <c r="A1996" s="624"/>
      <c r="B1996" s="617">
        <v>39095005101</v>
      </c>
      <c r="C1996" s="617" t="s">
        <v>3664</v>
      </c>
      <c r="D1996" s="617" t="s">
        <v>71</v>
      </c>
      <c r="E1996" s="617" t="s">
        <v>4855</v>
      </c>
      <c r="F1996" s="617" t="s">
        <v>24</v>
      </c>
      <c r="G1996" s="624"/>
      <c r="O1996" s="616"/>
      <c r="P1996" s="616"/>
      <c r="Q1996" s="616"/>
      <c r="AA1996" s="624"/>
      <c r="AB1996" s="663">
        <v>39099811100</v>
      </c>
      <c r="AC1996" s="663" t="s">
        <v>6928</v>
      </c>
      <c r="AD1996" s="663" t="s">
        <v>4950</v>
      </c>
      <c r="AE1996" s="663" t="s">
        <v>4939</v>
      </c>
      <c r="AF1996" s="663" t="s">
        <v>4946</v>
      </c>
    </row>
    <row r="1997" spans="1:32" s="608" customFormat="1" x14ac:dyDescent="0.25">
      <c r="A1997" s="624"/>
      <c r="B1997" s="617">
        <v>39095005102</v>
      </c>
      <c r="C1997" s="617" t="s">
        <v>3665</v>
      </c>
      <c r="D1997" s="617" t="s">
        <v>71</v>
      </c>
      <c r="E1997" s="617" t="s">
        <v>4855</v>
      </c>
      <c r="F1997" s="617" t="s">
        <v>24</v>
      </c>
      <c r="G1997" s="624"/>
      <c r="O1997" s="616"/>
      <c r="P1997" s="616"/>
      <c r="Q1997" s="616"/>
      <c r="AA1997" s="624"/>
      <c r="AB1997" s="663">
        <v>39099811200</v>
      </c>
      <c r="AC1997" s="663" t="s">
        <v>6929</v>
      </c>
      <c r="AD1997" s="663" t="s">
        <v>4941</v>
      </c>
      <c r="AE1997" s="663" t="s">
        <v>4934</v>
      </c>
      <c r="AF1997" s="663" t="s">
        <v>4946</v>
      </c>
    </row>
    <row r="1998" spans="1:32" s="608" customFormat="1" x14ac:dyDescent="0.25">
      <c r="A1998" s="624"/>
      <c r="B1998" s="617">
        <v>39095005200</v>
      </c>
      <c r="C1998" s="617" t="s">
        <v>3666</v>
      </c>
      <c r="D1998" s="617" t="s">
        <v>71</v>
      </c>
      <c r="E1998" s="617" t="s">
        <v>4855</v>
      </c>
      <c r="F1998" s="617" t="s">
        <v>24</v>
      </c>
      <c r="G1998" s="624"/>
      <c r="O1998" s="616"/>
      <c r="P1998" s="616"/>
      <c r="Q1998" s="616"/>
      <c r="AA1998" s="624"/>
      <c r="AB1998" s="663">
        <v>39099811300</v>
      </c>
      <c r="AC1998" s="663" t="s">
        <v>6930</v>
      </c>
      <c r="AD1998" s="663" t="s">
        <v>4950</v>
      </c>
      <c r="AE1998" s="663" t="s">
        <v>4934</v>
      </c>
      <c r="AF1998" s="663" t="s">
        <v>4946</v>
      </c>
    </row>
    <row r="1999" spans="1:32" s="608" customFormat="1" x14ac:dyDescent="0.25">
      <c r="A1999" s="624"/>
      <c r="B1999" s="617">
        <v>39095005300</v>
      </c>
      <c r="C1999" s="617" t="s">
        <v>3667</v>
      </c>
      <c r="D1999" s="617" t="s">
        <v>71</v>
      </c>
      <c r="E1999" s="617" t="s">
        <v>4855</v>
      </c>
      <c r="F1999" s="617" t="s">
        <v>24</v>
      </c>
      <c r="G1999" s="624"/>
      <c r="O1999" s="616"/>
      <c r="P1999" s="616"/>
      <c r="Q1999" s="616"/>
      <c r="AA1999" s="624"/>
      <c r="AB1999" s="663">
        <v>39099811400</v>
      </c>
      <c r="AC1999" s="663" t="s">
        <v>6931</v>
      </c>
      <c r="AD1999" s="663" t="s">
        <v>4950</v>
      </c>
      <c r="AE1999" s="663" t="s">
        <v>4928</v>
      </c>
      <c r="AF1999" s="663" t="s">
        <v>4946</v>
      </c>
    </row>
    <row r="2000" spans="1:32" s="608" customFormat="1" x14ac:dyDescent="0.25">
      <c r="A2000" s="624"/>
      <c r="B2000" s="617">
        <v>39095005400</v>
      </c>
      <c r="C2000" s="617" t="s">
        <v>3668</v>
      </c>
      <c r="D2000" s="617" t="s">
        <v>71</v>
      </c>
      <c r="E2000" s="617" t="s">
        <v>4855</v>
      </c>
      <c r="F2000" s="617" t="s">
        <v>24</v>
      </c>
      <c r="G2000" s="624"/>
      <c r="O2000" s="616"/>
      <c r="P2000" s="616"/>
      <c r="Q2000" s="616"/>
      <c r="AA2000" s="624"/>
      <c r="AB2000" s="663">
        <v>39099811500</v>
      </c>
      <c r="AC2000" s="663" t="s">
        <v>6932</v>
      </c>
      <c r="AD2000" s="663" t="s">
        <v>4941</v>
      </c>
      <c r="AE2000" s="663" t="s">
        <v>4931</v>
      </c>
      <c r="AF2000" s="663" t="s">
        <v>4946</v>
      </c>
    </row>
    <row r="2001" spans="1:32" s="608" customFormat="1" x14ac:dyDescent="0.25">
      <c r="A2001" s="624"/>
      <c r="B2001" s="617">
        <v>39095005501</v>
      </c>
      <c r="C2001" s="617" t="s">
        <v>3669</v>
      </c>
      <c r="D2001" s="617" t="s">
        <v>71</v>
      </c>
      <c r="E2001" s="617" t="s">
        <v>4855</v>
      </c>
      <c r="F2001" s="617" t="s">
        <v>26</v>
      </c>
      <c r="G2001" s="624"/>
      <c r="O2001" s="616"/>
      <c r="P2001" s="616"/>
      <c r="Q2001" s="616"/>
      <c r="AA2001" s="624"/>
      <c r="AB2001" s="663">
        <v>39099811600</v>
      </c>
      <c r="AC2001" s="663" t="s">
        <v>6933</v>
      </c>
      <c r="AD2001" s="663" t="s">
        <v>4941</v>
      </c>
      <c r="AE2001" s="663" t="s">
        <v>4931</v>
      </c>
      <c r="AF2001" s="663" t="s">
        <v>4946</v>
      </c>
    </row>
    <row r="2002" spans="1:32" s="608" customFormat="1" x14ac:dyDescent="0.25">
      <c r="A2002" s="624"/>
      <c r="B2002" s="617">
        <v>39095005502</v>
      </c>
      <c r="C2002" s="617" t="s">
        <v>3670</v>
      </c>
      <c r="D2002" s="617" t="s">
        <v>71</v>
      </c>
      <c r="E2002" s="617" t="s">
        <v>4855</v>
      </c>
      <c r="F2002" s="617" t="s">
        <v>26</v>
      </c>
      <c r="G2002" s="624"/>
      <c r="O2002" s="616"/>
      <c r="P2002" s="616"/>
      <c r="Q2002" s="616"/>
      <c r="AA2002" s="624"/>
      <c r="AB2002" s="663">
        <v>39099811700</v>
      </c>
      <c r="AC2002" s="663" t="s">
        <v>6934</v>
      </c>
      <c r="AD2002" s="663" t="s">
        <v>4948</v>
      </c>
      <c r="AE2002" s="663" t="s">
        <v>4942</v>
      </c>
      <c r="AF2002" s="663" t="s">
        <v>4946</v>
      </c>
    </row>
    <row r="2003" spans="1:32" s="608" customFormat="1" x14ac:dyDescent="0.25">
      <c r="A2003" s="624"/>
      <c r="B2003" s="617">
        <v>39095005503</v>
      </c>
      <c r="C2003" s="617" t="s">
        <v>3671</v>
      </c>
      <c r="D2003" s="617" t="s">
        <v>71</v>
      </c>
      <c r="E2003" s="617" t="s">
        <v>4855</v>
      </c>
      <c r="F2003" s="617" t="s">
        <v>26</v>
      </c>
      <c r="G2003" s="624"/>
      <c r="O2003" s="616"/>
      <c r="P2003" s="616"/>
      <c r="Q2003" s="616"/>
      <c r="AA2003" s="624"/>
      <c r="AB2003" s="663">
        <v>39099811800</v>
      </c>
      <c r="AC2003" s="663" t="s">
        <v>6935</v>
      </c>
      <c r="AD2003" s="663" t="s">
        <v>4941</v>
      </c>
      <c r="AE2003" s="663" t="s">
        <v>4939</v>
      </c>
      <c r="AF2003" s="663" t="s">
        <v>4946</v>
      </c>
    </row>
    <row r="2004" spans="1:32" s="608" customFormat="1" x14ac:dyDescent="0.25">
      <c r="A2004" s="624"/>
      <c r="B2004" s="617">
        <v>39095005601</v>
      </c>
      <c r="C2004" s="617" t="s">
        <v>3672</v>
      </c>
      <c r="D2004" s="617" t="s">
        <v>71</v>
      </c>
      <c r="E2004" s="617" t="s">
        <v>4855</v>
      </c>
      <c r="F2004" s="617" t="s">
        <v>26</v>
      </c>
      <c r="G2004" s="624"/>
      <c r="O2004" s="616"/>
      <c r="P2004" s="616"/>
      <c r="Q2004" s="616"/>
      <c r="AA2004" s="624"/>
      <c r="AB2004" s="663">
        <v>39099811901</v>
      </c>
      <c r="AC2004" s="663" t="s">
        <v>6936</v>
      </c>
      <c r="AD2004" s="663" t="s">
        <v>4948</v>
      </c>
      <c r="AE2004" s="663" t="s">
        <v>4934</v>
      </c>
      <c r="AF2004" s="663" t="s">
        <v>4946</v>
      </c>
    </row>
    <row r="2005" spans="1:32" s="608" customFormat="1" x14ac:dyDescent="0.25">
      <c r="A2005" s="624"/>
      <c r="B2005" s="617">
        <v>39095005602</v>
      </c>
      <c r="C2005" s="617" t="s">
        <v>3673</v>
      </c>
      <c r="D2005" s="617" t="s">
        <v>71</v>
      </c>
      <c r="E2005" s="617" t="s">
        <v>4855</v>
      </c>
      <c r="F2005" s="617" t="s">
        <v>26</v>
      </c>
      <c r="G2005" s="624"/>
      <c r="O2005" s="616"/>
      <c r="P2005" s="616"/>
      <c r="Q2005" s="616"/>
      <c r="AA2005" s="624"/>
      <c r="AB2005" s="663">
        <v>39099811902</v>
      </c>
      <c r="AC2005" s="663" t="s">
        <v>6937</v>
      </c>
      <c r="AD2005" s="663" t="s">
        <v>4941</v>
      </c>
      <c r="AE2005" s="663" t="s">
        <v>4928</v>
      </c>
      <c r="AF2005" s="663" t="s">
        <v>4946</v>
      </c>
    </row>
    <row r="2006" spans="1:32" s="608" customFormat="1" x14ac:dyDescent="0.25">
      <c r="A2006" s="624"/>
      <c r="B2006" s="617">
        <v>39095005701</v>
      </c>
      <c r="C2006" s="617" t="s">
        <v>3674</v>
      </c>
      <c r="D2006" s="617" t="s">
        <v>71</v>
      </c>
      <c r="E2006" s="617" t="s">
        <v>4855</v>
      </c>
      <c r="F2006" s="617" t="s">
        <v>26</v>
      </c>
      <c r="G2006" s="624"/>
      <c r="O2006" s="616"/>
      <c r="P2006" s="616"/>
      <c r="Q2006" s="616"/>
      <c r="AA2006" s="624"/>
      <c r="AB2006" s="663">
        <v>39099812001</v>
      </c>
      <c r="AC2006" s="663" t="s">
        <v>6938</v>
      </c>
      <c r="AD2006" s="663" t="s">
        <v>4948</v>
      </c>
      <c r="AE2006" s="663" t="s">
        <v>4931</v>
      </c>
      <c r="AF2006" s="663" t="s">
        <v>4946</v>
      </c>
    </row>
    <row r="2007" spans="1:32" s="608" customFormat="1" x14ac:dyDescent="0.25">
      <c r="A2007" s="624"/>
      <c r="B2007" s="617">
        <v>39095005703</v>
      </c>
      <c r="C2007" s="617" t="s">
        <v>3675</v>
      </c>
      <c r="D2007" s="617" t="s">
        <v>71</v>
      </c>
      <c r="E2007" s="617" t="s">
        <v>4855</v>
      </c>
      <c r="F2007" s="617" t="s">
        <v>26</v>
      </c>
      <c r="G2007" s="624"/>
      <c r="O2007" s="616"/>
      <c r="P2007" s="616"/>
      <c r="Q2007" s="616"/>
      <c r="AA2007" s="624"/>
      <c r="AB2007" s="663">
        <v>39099812002</v>
      </c>
      <c r="AC2007" s="663" t="s">
        <v>6939</v>
      </c>
      <c r="AD2007" s="663" t="s">
        <v>4948</v>
      </c>
      <c r="AE2007" s="663" t="s">
        <v>4931</v>
      </c>
      <c r="AF2007" s="663" t="s">
        <v>4946</v>
      </c>
    </row>
    <row r="2008" spans="1:32" s="608" customFormat="1" x14ac:dyDescent="0.25">
      <c r="A2008" s="624"/>
      <c r="B2008" s="617">
        <v>39095005704</v>
      </c>
      <c r="C2008" s="617" t="s">
        <v>3676</v>
      </c>
      <c r="D2008" s="617" t="s">
        <v>71</v>
      </c>
      <c r="E2008" s="617" t="s">
        <v>4855</v>
      </c>
      <c r="F2008" s="617" t="s">
        <v>26</v>
      </c>
      <c r="G2008" s="624"/>
      <c r="O2008" s="616"/>
      <c r="P2008" s="616"/>
      <c r="Q2008" s="616"/>
      <c r="AA2008" s="624"/>
      <c r="AB2008" s="663">
        <v>39099812100</v>
      </c>
      <c r="AC2008" s="663" t="s">
        <v>6940</v>
      </c>
      <c r="AD2008" s="663" t="s">
        <v>4941</v>
      </c>
      <c r="AE2008" s="663" t="s">
        <v>4939</v>
      </c>
      <c r="AF2008" s="663" t="s">
        <v>4946</v>
      </c>
    </row>
    <row r="2009" spans="1:32" s="608" customFormat="1" x14ac:dyDescent="0.25">
      <c r="A2009" s="624"/>
      <c r="B2009" s="617">
        <v>39095005705</v>
      </c>
      <c r="C2009" s="617" t="s">
        <v>3677</v>
      </c>
      <c r="D2009" s="617" t="s">
        <v>71</v>
      </c>
      <c r="E2009" s="617" t="s">
        <v>4855</v>
      </c>
      <c r="F2009" s="617" t="s">
        <v>26</v>
      </c>
      <c r="G2009" s="624"/>
      <c r="O2009" s="616"/>
      <c r="P2009" s="616"/>
      <c r="Q2009" s="616"/>
      <c r="AA2009" s="624"/>
      <c r="AB2009" s="663">
        <v>39099812200</v>
      </c>
      <c r="AC2009" s="663" t="s">
        <v>6941</v>
      </c>
      <c r="AD2009" s="663" t="s">
        <v>4941</v>
      </c>
      <c r="AE2009" s="663" t="s">
        <v>4939</v>
      </c>
      <c r="AF2009" s="663" t="s">
        <v>4946</v>
      </c>
    </row>
    <row r="2010" spans="1:32" s="608" customFormat="1" x14ac:dyDescent="0.25">
      <c r="A2010" s="624"/>
      <c r="B2010" s="617">
        <v>39095005801</v>
      </c>
      <c r="C2010" s="617" t="s">
        <v>3678</v>
      </c>
      <c r="D2010" s="617" t="s">
        <v>71</v>
      </c>
      <c r="E2010" s="617" t="s">
        <v>4855</v>
      </c>
      <c r="F2010" s="617" t="s">
        <v>26</v>
      </c>
      <c r="G2010" s="624"/>
      <c r="O2010" s="616"/>
      <c r="P2010" s="616"/>
      <c r="Q2010" s="616"/>
      <c r="AA2010" s="624"/>
      <c r="AB2010" s="663">
        <v>39099812301</v>
      </c>
      <c r="AC2010" s="663" t="s">
        <v>6942</v>
      </c>
      <c r="AD2010" s="663" t="s">
        <v>4948</v>
      </c>
      <c r="AE2010" s="663" t="s">
        <v>4934</v>
      </c>
      <c r="AF2010" s="663" t="s">
        <v>4946</v>
      </c>
    </row>
    <row r="2011" spans="1:32" s="608" customFormat="1" x14ac:dyDescent="0.25">
      <c r="A2011" s="624"/>
      <c r="B2011" s="617">
        <v>39095005803</v>
      </c>
      <c r="C2011" s="617" t="s">
        <v>3679</v>
      </c>
      <c r="D2011" s="617" t="s">
        <v>71</v>
      </c>
      <c r="E2011" s="617" t="s">
        <v>4855</v>
      </c>
      <c r="F2011" s="617" t="s">
        <v>26</v>
      </c>
      <c r="G2011" s="624"/>
      <c r="O2011" s="616"/>
      <c r="P2011" s="616"/>
      <c r="Q2011" s="616"/>
      <c r="AA2011" s="624"/>
      <c r="AB2011" s="663">
        <v>39099812302</v>
      </c>
      <c r="AC2011" s="663" t="s">
        <v>6943</v>
      </c>
      <c r="AD2011" s="663" t="s">
        <v>4948</v>
      </c>
      <c r="AE2011" s="663" t="s">
        <v>4928</v>
      </c>
      <c r="AF2011" s="663" t="s">
        <v>4946</v>
      </c>
    </row>
    <row r="2012" spans="1:32" s="608" customFormat="1" x14ac:dyDescent="0.25">
      <c r="A2012" s="624"/>
      <c r="B2012" s="617">
        <v>39095005804</v>
      </c>
      <c r="C2012" s="617" t="s">
        <v>3680</v>
      </c>
      <c r="D2012" s="617" t="s">
        <v>71</v>
      </c>
      <c r="E2012" s="617" t="s">
        <v>4855</v>
      </c>
      <c r="F2012" s="617" t="s">
        <v>26</v>
      </c>
      <c r="G2012" s="624"/>
      <c r="O2012" s="616"/>
      <c r="P2012" s="616"/>
      <c r="Q2012" s="616"/>
      <c r="AA2012" s="624"/>
      <c r="AB2012" s="663">
        <v>39099812400</v>
      </c>
      <c r="AC2012" s="663" t="s">
        <v>6944</v>
      </c>
      <c r="AD2012" s="663" t="s">
        <v>4927</v>
      </c>
      <c r="AE2012" s="663" t="s">
        <v>4928</v>
      </c>
      <c r="AF2012" s="663" t="s">
        <v>4946</v>
      </c>
    </row>
    <row r="2013" spans="1:32" s="608" customFormat="1" x14ac:dyDescent="0.25">
      <c r="A2013" s="624"/>
      <c r="B2013" s="617">
        <v>39095005901</v>
      </c>
      <c r="C2013" s="617" t="s">
        <v>3681</v>
      </c>
      <c r="D2013" s="617" t="s">
        <v>71</v>
      </c>
      <c r="E2013" s="617" t="s">
        <v>4855</v>
      </c>
      <c r="F2013" s="617" t="s">
        <v>26</v>
      </c>
      <c r="G2013" s="624"/>
      <c r="O2013" s="616"/>
      <c r="P2013" s="616"/>
      <c r="Q2013" s="616"/>
      <c r="AA2013" s="624"/>
      <c r="AB2013" s="663">
        <v>39099812500</v>
      </c>
      <c r="AC2013" s="663" t="s">
        <v>6945</v>
      </c>
      <c r="AD2013" s="663" t="s">
        <v>4948</v>
      </c>
      <c r="AE2013" s="663" t="s">
        <v>4934</v>
      </c>
      <c r="AF2013" s="663" t="s">
        <v>4946</v>
      </c>
    </row>
    <row r="2014" spans="1:32" s="608" customFormat="1" x14ac:dyDescent="0.25">
      <c r="A2014" s="624"/>
      <c r="B2014" s="617">
        <v>39095005902</v>
      </c>
      <c r="C2014" s="617" t="s">
        <v>3682</v>
      </c>
      <c r="D2014" s="617" t="s">
        <v>71</v>
      </c>
      <c r="E2014" s="617" t="s">
        <v>4855</v>
      </c>
      <c r="F2014" s="617" t="s">
        <v>26</v>
      </c>
      <c r="G2014" s="624"/>
      <c r="O2014" s="616"/>
      <c r="P2014" s="616"/>
      <c r="Q2014" s="616"/>
      <c r="AA2014" s="624"/>
      <c r="AB2014" s="663">
        <v>39099812601</v>
      </c>
      <c r="AC2014" s="663" t="s">
        <v>6946</v>
      </c>
      <c r="AD2014" s="663" t="s">
        <v>4948</v>
      </c>
      <c r="AE2014" s="663" t="s">
        <v>4939</v>
      </c>
      <c r="AF2014" s="663" t="s">
        <v>4946</v>
      </c>
    </row>
    <row r="2015" spans="1:32" s="608" customFormat="1" x14ac:dyDescent="0.25">
      <c r="A2015" s="624"/>
      <c r="B2015" s="617">
        <v>39095006000</v>
      </c>
      <c r="C2015" s="617" t="s">
        <v>3683</v>
      </c>
      <c r="D2015" s="617" t="s">
        <v>71</v>
      </c>
      <c r="E2015" s="617" t="s">
        <v>4855</v>
      </c>
      <c r="F2015" s="617" t="s">
        <v>26</v>
      </c>
      <c r="G2015" s="624"/>
      <c r="O2015" s="616"/>
      <c r="P2015" s="616"/>
      <c r="Q2015" s="616"/>
      <c r="AA2015" s="624"/>
      <c r="AB2015" s="663">
        <v>39099812602</v>
      </c>
      <c r="AC2015" s="663" t="s">
        <v>6947</v>
      </c>
      <c r="AD2015" s="663" t="s">
        <v>4941</v>
      </c>
      <c r="AE2015" s="663" t="s">
        <v>4928</v>
      </c>
      <c r="AF2015" s="663" t="s">
        <v>4946</v>
      </c>
    </row>
    <row r="2016" spans="1:32" s="608" customFormat="1" x14ac:dyDescent="0.25">
      <c r="A2016" s="624"/>
      <c r="B2016" s="617">
        <v>39095006100</v>
      </c>
      <c r="C2016" s="617" t="s">
        <v>3684</v>
      </c>
      <c r="D2016" s="617" t="s">
        <v>71</v>
      </c>
      <c r="E2016" s="617" t="s">
        <v>4855</v>
      </c>
      <c r="F2016" s="617" t="s">
        <v>26</v>
      </c>
      <c r="G2016" s="624"/>
      <c r="O2016" s="616"/>
      <c r="P2016" s="616"/>
      <c r="Q2016" s="616"/>
      <c r="AA2016" s="624"/>
      <c r="AB2016" s="663">
        <v>39099812603</v>
      </c>
      <c r="AC2016" s="663" t="s">
        <v>6948</v>
      </c>
      <c r="AD2016" s="663" t="s">
        <v>4941</v>
      </c>
      <c r="AE2016" s="663" t="s">
        <v>4942</v>
      </c>
      <c r="AF2016" s="663" t="s">
        <v>4946</v>
      </c>
    </row>
    <row r="2017" spans="1:32" s="608" customFormat="1" x14ac:dyDescent="0.25">
      <c r="A2017" s="624"/>
      <c r="B2017" s="617">
        <v>39095006200</v>
      </c>
      <c r="C2017" s="617" t="s">
        <v>3685</v>
      </c>
      <c r="D2017" s="617" t="s">
        <v>71</v>
      </c>
      <c r="E2017" s="617" t="s">
        <v>4855</v>
      </c>
      <c r="F2017" s="617" t="s">
        <v>26</v>
      </c>
      <c r="G2017" s="624"/>
      <c r="O2017" s="616"/>
      <c r="P2017" s="616"/>
      <c r="Q2017" s="616"/>
      <c r="AA2017" s="624"/>
      <c r="AB2017" s="663">
        <v>39099812700</v>
      </c>
      <c r="AC2017" s="663" t="s">
        <v>6949</v>
      </c>
      <c r="AD2017" s="663" t="s">
        <v>4941</v>
      </c>
      <c r="AE2017" s="663" t="s">
        <v>4928</v>
      </c>
      <c r="AF2017" s="663" t="s">
        <v>4929</v>
      </c>
    </row>
    <row r="2018" spans="1:32" s="608" customFormat="1" x14ac:dyDescent="0.25">
      <c r="A2018" s="624"/>
      <c r="B2018" s="617">
        <v>39095006300</v>
      </c>
      <c r="C2018" s="617" t="s">
        <v>3686</v>
      </c>
      <c r="D2018" s="617" t="s">
        <v>71</v>
      </c>
      <c r="E2018" s="617" t="s">
        <v>4855</v>
      </c>
      <c r="F2018" s="617" t="s">
        <v>26</v>
      </c>
      <c r="G2018" s="624"/>
      <c r="O2018" s="616"/>
      <c r="P2018" s="616"/>
      <c r="Q2018" s="616"/>
      <c r="AA2018" s="624"/>
      <c r="AB2018" s="663">
        <v>39099812800</v>
      </c>
      <c r="AC2018" s="663" t="s">
        <v>6950</v>
      </c>
      <c r="AD2018" s="663" t="s">
        <v>4948</v>
      </c>
      <c r="AE2018" s="663" t="s">
        <v>4942</v>
      </c>
      <c r="AF2018" s="663" t="s">
        <v>4929</v>
      </c>
    </row>
    <row r="2019" spans="1:32" s="608" customFormat="1" x14ac:dyDescent="0.25">
      <c r="A2019" s="624"/>
      <c r="B2019" s="617">
        <v>39095006400</v>
      </c>
      <c r="C2019" s="617" t="s">
        <v>3687</v>
      </c>
      <c r="D2019" s="617" t="s">
        <v>71</v>
      </c>
      <c r="E2019" s="617" t="s">
        <v>4855</v>
      </c>
      <c r="F2019" s="617" t="s">
        <v>26</v>
      </c>
      <c r="G2019" s="624"/>
      <c r="O2019" s="616"/>
      <c r="P2019" s="616"/>
      <c r="Q2019" s="616"/>
      <c r="AA2019" s="624"/>
      <c r="AB2019" s="663">
        <v>39099812900</v>
      </c>
      <c r="AC2019" s="663" t="s">
        <v>6951</v>
      </c>
      <c r="AD2019" s="663" t="s">
        <v>4938</v>
      </c>
      <c r="AE2019" s="663" t="s">
        <v>4931</v>
      </c>
      <c r="AF2019" s="663" t="s">
        <v>4929</v>
      </c>
    </row>
    <row r="2020" spans="1:32" s="608" customFormat="1" x14ac:dyDescent="0.25">
      <c r="A2020" s="624"/>
      <c r="B2020" s="617">
        <v>39095006500</v>
      </c>
      <c r="C2020" s="617" t="s">
        <v>3688</v>
      </c>
      <c r="D2020" s="617" t="s">
        <v>71</v>
      </c>
      <c r="E2020" s="617" t="s">
        <v>4855</v>
      </c>
      <c r="F2020" s="617" t="s">
        <v>24</v>
      </c>
      <c r="G2020" s="624"/>
      <c r="O2020" s="616"/>
      <c r="P2020" s="616"/>
      <c r="Q2020" s="616"/>
      <c r="AA2020" s="624"/>
      <c r="AB2020" s="663">
        <v>39099813000</v>
      </c>
      <c r="AC2020" s="663" t="s">
        <v>6952</v>
      </c>
      <c r="AD2020" s="663" t="s">
        <v>4948</v>
      </c>
      <c r="AE2020" s="663" t="s">
        <v>4931</v>
      </c>
      <c r="AF2020" s="663" t="s">
        <v>4929</v>
      </c>
    </row>
    <row r="2021" spans="1:32" s="608" customFormat="1" x14ac:dyDescent="0.25">
      <c r="A2021" s="624"/>
      <c r="B2021" s="617">
        <v>39095006600</v>
      </c>
      <c r="C2021" s="617" t="s">
        <v>3689</v>
      </c>
      <c r="D2021" s="617" t="s">
        <v>71</v>
      </c>
      <c r="E2021" s="617" t="s">
        <v>4855</v>
      </c>
      <c r="F2021" s="617" t="s">
        <v>24</v>
      </c>
      <c r="G2021" s="624"/>
      <c r="O2021" s="616"/>
      <c r="P2021" s="616"/>
      <c r="Q2021" s="616"/>
      <c r="AA2021" s="624"/>
      <c r="AB2021" s="663">
        <v>39099813200</v>
      </c>
      <c r="AC2021" s="663" t="s">
        <v>6953</v>
      </c>
      <c r="AD2021" s="663" t="s">
        <v>4950</v>
      </c>
      <c r="AE2021" s="663" t="s">
        <v>4942</v>
      </c>
      <c r="AF2021" s="663" t="s">
        <v>4929</v>
      </c>
    </row>
    <row r="2022" spans="1:32" s="608" customFormat="1" x14ac:dyDescent="0.25">
      <c r="A2022" s="624"/>
      <c r="B2022" s="617">
        <v>39095006700</v>
      </c>
      <c r="C2022" s="617" t="s">
        <v>3690</v>
      </c>
      <c r="D2022" s="617" t="s">
        <v>71</v>
      </c>
      <c r="E2022" s="617" t="s">
        <v>4855</v>
      </c>
      <c r="F2022" s="617" t="s">
        <v>24</v>
      </c>
      <c r="G2022" s="624"/>
      <c r="O2022" s="616"/>
      <c r="P2022" s="616"/>
      <c r="Q2022" s="616"/>
      <c r="AA2022" s="624"/>
      <c r="AB2022" s="663">
        <v>39099813300</v>
      </c>
      <c r="AC2022" s="663" t="s">
        <v>6954</v>
      </c>
      <c r="AD2022" s="663" t="s">
        <v>4948</v>
      </c>
      <c r="AE2022" s="663" t="s">
        <v>4928</v>
      </c>
      <c r="AF2022" s="663" t="s">
        <v>4929</v>
      </c>
    </row>
    <row r="2023" spans="1:32" s="608" customFormat="1" x14ac:dyDescent="0.25">
      <c r="A2023" s="624"/>
      <c r="B2023" s="617">
        <v>39095006801</v>
      </c>
      <c r="C2023" s="617" t="s">
        <v>3691</v>
      </c>
      <c r="D2023" s="617" t="s">
        <v>71</v>
      </c>
      <c r="E2023" s="617" t="s">
        <v>4855</v>
      </c>
      <c r="F2023" s="617" t="s">
        <v>24</v>
      </c>
      <c r="G2023" s="624"/>
      <c r="O2023" s="616"/>
      <c r="P2023" s="616"/>
      <c r="Q2023" s="616"/>
      <c r="AA2023" s="624"/>
      <c r="AB2023" s="663">
        <v>39099813400</v>
      </c>
      <c r="AC2023" s="663" t="s">
        <v>6955</v>
      </c>
      <c r="AD2023" s="663" t="s">
        <v>4938</v>
      </c>
      <c r="AE2023" s="663" t="s">
        <v>4942</v>
      </c>
      <c r="AF2023" s="663" t="s">
        <v>4929</v>
      </c>
    </row>
    <row r="2024" spans="1:32" s="608" customFormat="1" x14ac:dyDescent="0.25">
      <c r="A2024" s="624"/>
      <c r="B2024" s="617">
        <v>39095006802</v>
      </c>
      <c r="C2024" s="617" t="s">
        <v>3692</v>
      </c>
      <c r="D2024" s="617" t="s">
        <v>71</v>
      </c>
      <c r="E2024" s="617" t="s">
        <v>4855</v>
      </c>
      <c r="F2024" s="617" t="s">
        <v>24</v>
      </c>
      <c r="G2024" s="624"/>
      <c r="O2024" s="616"/>
      <c r="P2024" s="616"/>
      <c r="Q2024" s="616"/>
      <c r="AA2024" s="624"/>
      <c r="AB2024" s="663">
        <v>39099813500</v>
      </c>
      <c r="AC2024" s="663" t="s">
        <v>6956</v>
      </c>
      <c r="AD2024" s="663" t="s">
        <v>4938</v>
      </c>
      <c r="AE2024" s="663" t="s">
        <v>4939</v>
      </c>
      <c r="AF2024" s="663" t="s">
        <v>4929</v>
      </c>
    </row>
    <row r="2025" spans="1:32" s="608" customFormat="1" x14ac:dyDescent="0.25">
      <c r="A2025" s="624"/>
      <c r="B2025" s="617">
        <v>39095006900</v>
      </c>
      <c r="C2025" s="617" t="s">
        <v>3693</v>
      </c>
      <c r="D2025" s="617" t="s">
        <v>71</v>
      </c>
      <c r="E2025" s="617" t="s">
        <v>4855</v>
      </c>
      <c r="F2025" s="617" t="s">
        <v>26</v>
      </c>
      <c r="G2025" s="624"/>
      <c r="O2025" s="616"/>
      <c r="P2025" s="616"/>
      <c r="Q2025" s="616"/>
      <c r="AA2025" s="624"/>
      <c r="AB2025" s="663">
        <v>39099813600</v>
      </c>
      <c r="AC2025" s="663" t="s">
        <v>6957</v>
      </c>
      <c r="AD2025" s="663" t="s">
        <v>4938</v>
      </c>
      <c r="AE2025" s="663" t="s">
        <v>4931</v>
      </c>
      <c r="AF2025" s="663" t="s">
        <v>4929</v>
      </c>
    </row>
    <row r="2026" spans="1:32" s="608" customFormat="1" x14ac:dyDescent="0.25">
      <c r="A2026" s="624"/>
      <c r="B2026" s="617">
        <v>39095007002</v>
      </c>
      <c r="C2026" s="617" t="s">
        <v>3694</v>
      </c>
      <c r="D2026" s="617" t="s">
        <v>71</v>
      </c>
      <c r="E2026" s="617" t="s">
        <v>4855</v>
      </c>
      <c r="F2026" s="617" t="s">
        <v>26</v>
      </c>
      <c r="G2026" s="624"/>
      <c r="O2026" s="616"/>
      <c r="P2026" s="616"/>
      <c r="Q2026" s="616"/>
      <c r="AA2026" s="624"/>
      <c r="AB2026" s="663">
        <v>39099813700</v>
      </c>
      <c r="AC2026" s="663" t="s">
        <v>6958</v>
      </c>
      <c r="AD2026" s="663" t="s">
        <v>4927</v>
      </c>
      <c r="AE2026" s="663" t="s">
        <v>5332</v>
      </c>
      <c r="AF2026" s="663" t="s">
        <v>4962</v>
      </c>
    </row>
    <row r="2027" spans="1:32" s="608" customFormat="1" x14ac:dyDescent="0.25">
      <c r="A2027" s="624"/>
      <c r="B2027" s="617">
        <v>39095007003</v>
      </c>
      <c r="C2027" s="617" t="s">
        <v>3695</v>
      </c>
      <c r="D2027" s="617" t="s">
        <v>71</v>
      </c>
      <c r="E2027" s="617" t="s">
        <v>4855</v>
      </c>
      <c r="F2027" s="617" t="s">
        <v>26</v>
      </c>
      <c r="G2027" s="624"/>
      <c r="O2027" s="616"/>
      <c r="P2027" s="616"/>
      <c r="Q2027" s="616"/>
      <c r="AA2027" s="624"/>
      <c r="AB2027" s="663">
        <v>39099813800</v>
      </c>
      <c r="AC2027" s="663" t="s">
        <v>6959</v>
      </c>
      <c r="AD2027" s="663" t="s">
        <v>4927</v>
      </c>
      <c r="AE2027" s="663" t="s">
        <v>4942</v>
      </c>
      <c r="AF2027" s="663" t="s">
        <v>4946</v>
      </c>
    </row>
    <row r="2028" spans="1:32" s="608" customFormat="1" x14ac:dyDescent="0.25">
      <c r="A2028" s="624"/>
      <c r="B2028" s="617">
        <v>39095007004</v>
      </c>
      <c r="C2028" s="617" t="s">
        <v>3696</v>
      </c>
      <c r="D2028" s="617" t="s">
        <v>71</v>
      </c>
      <c r="E2028" s="617" t="s">
        <v>4855</v>
      </c>
      <c r="F2028" s="617" t="s">
        <v>26</v>
      </c>
      <c r="G2028" s="624"/>
      <c r="O2028" s="616"/>
      <c r="P2028" s="616"/>
      <c r="Q2028" s="616"/>
      <c r="AA2028" s="624"/>
      <c r="AB2028" s="663">
        <v>39099813900</v>
      </c>
      <c r="AC2028" s="663" t="s">
        <v>6960</v>
      </c>
      <c r="AD2028" s="663" t="s">
        <v>4950</v>
      </c>
      <c r="AE2028" s="663" t="s">
        <v>4934</v>
      </c>
      <c r="AF2028" s="663" t="s">
        <v>4962</v>
      </c>
    </row>
    <row r="2029" spans="1:32" s="608" customFormat="1" x14ac:dyDescent="0.25">
      <c r="A2029" s="624"/>
      <c r="B2029" s="617">
        <v>39095007102</v>
      </c>
      <c r="C2029" s="617" t="s">
        <v>3697</v>
      </c>
      <c r="D2029" s="617" t="s">
        <v>71</v>
      </c>
      <c r="E2029" s="617" t="s">
        <v>4855</v>
      </c>
      <c r="F2029" s="617" t="s">
        <v>26</v>
      </c>
      <c r="G2029" s="624"/>
      <c r="O2029" s="616"/>
      <c r="P2029" s="616"/>
      <c r="Q2029" s="616"/>
      <c r="AA2029" s="624"/>
      <c r="AB2029" s="663">
        <v>39099814000</v>
      </c>
      <c r="AC2029" s="663" t="s">
        <v>6961</v>
      </c>
      <c r="AD2029" s="663" t="s">
        <v>4927</v>
      </c>
      <c r="AE2029" s="663" t="s">
        <v>4942</v>
      </c>
      <c r="AF2029" s="663" t="s">
        <v>4962</v>
      </c>
    </row>
    <row r="2030" spans="1:32" s="608" customFormat="1" x14ac:dyDescent="0.25">
      <c r="A2030" s="624"/>
      <c r="B2030" s="617">
        <v>39095007103</v>
      </c>
      <c r="C2030" s="617" t="s">
        <v>3698</v>
      </c>
      <c r="D2030" s="617" t="s">
        <v>71</v>
      </c>
      <c r="E2030" s="617" t="s">
        <v>4855</v>
      </c>
      <c r="F2030" s="617" t="s">
        <v>26</v>
      </c>
      <c r="G2030" s="624"/>
      <c r="O2030" s="616"/>
      <c r="P2030" s="616"/>
      <c r="Q2030" s="616"/>
      <c r="AA2030" s="624"/>
      <c r="AB2030" s="663">
        <v>39099814100</v>
      </c>
      <c r="AC2030" s="663" t="s">
        <v>6962</v>
      </c>
      <c r="AD2030" s="663" t="s">
        <v>4950</v>
      </c>
      <c r="AE2030" s="663" t="s">
        <v>4928</v>
      </c>
      <c r="AF2030" s="663" t="s">
        <v>4962</v>
      </c>
    </row>
    <row r="2031" spans="1:32" s="608" customFormat="1" x14ac:dyDescent="0.25">
      <c r="A2031" s="624"/>
      <c r="B2031" s="617">
        <v>39095007104</v>
      </c>
      <c r="C2031" s="617" t="s">
        <v>3699</v>
      </c>
      <c r="D2031" s="617" t="s">
        <v>71</v>
      </c>
      <c r="E2031" s="617" t="s">
        <v>4855</v>
      </c>
      <c r="F2031" s="617" t="s">
        <v>26</v>
      </c>
      <c r="G2031" s="624"/>
      <c r="O2031" s="616"/>
      <c r="P2031" s="616"/>
      <c r="Q2031" s="616"/>
      <c r="AA2031" s="624"/>
      <c r="AB2031" s="663">
        <v>39101000100</v>
      </c>
      <c r="AC2031" s="663" t="s">
        <v>6963</v>
      </c>
      <c r="AD2031" s="663" t="s">
        <v>4927</v>
      </c>
      <c r="AE2031" s="663" t="s">
        <v>4942</v>
      </c>
      <c r="AF2031" s="663" t="s">
        <v>4983</v>
      </c>
    </row>
    <row r="2032" spans="1:32" s="608" customFormat="1" x14ac:dyDescent="0.25">
      <c r="A2032" s="624"/>
      <c r="B2032" s="617">
        <v>39095007202</v>
      </c>
      <c r="C2032" s="617" t="s">
        <v>3700</v>
      </c>
      <c r="D2032" s="617" t="s">
        <v>71</v>
      </c>
      <c r="E2032" s="617" t="s">
        <v>4855</v>
      </c>
      <c r="F2032" s="617" t="s">
        <v>26</v>
      </c>
      <c r="G2032" s="624"/>
      <c r="O2032" s="616"/>
      <c r="P2032" s="616"/>
      <c r="Q2032" s="616"/>
      <c r="AA2032" s="624"/>
      <c r="AB2032" s="663">
        <v>39101000200</v>
      </c>
      <c r="AC2032" s="663" t="s">
        <v>6964</v>
      </c>
      <c r="AD2032" s="663" t="s">
        <v>4927</v>
      </c>
      <c r="AE2032" s="663" t="s">
        <v>4934</v>
      </c>
      <c r="AF2032" s="663" t="s">
        <v>4983</v>
      </c>
    </row>
    <row r="2033" spans="1:32" s="608" customFormat="1" x14ac:dyDescent="0.25">
      <c r="A2033" s="624"/>
      <c r="B2033" s="617">
        <v>39095007204</v>
      </c>
      <c r="C2033" s="617" t="s">
        <v>3701</v>
      </c>
      <c r="D2033" s="617" t="s">
        <v>71</v>
      </c>
      <c r="E2033" s="617" t="s">
        <v>4855</v>
      </c>
      <c r="F2033" s="617" t="s">
        <v>26</v>
      </c>
      <c r="G2033" s="624"/>
      <c r="O2033" s="616"/>
      <c r="P2033" s="616"/>
      <c r="Q2033" s="616"/>
      <c r="AA2033" s="624"/>
      <c r="AB2033" s="663">
        <v>39101000300</v>
      </c>
      <c r="AC2033" s="663" t="s">
        <v>6965</v>
      </c>
      <c r="AD2033" s="663" t="s">
        <v>4927</v>
      </c>
      <c r="AE2033" s="663" t="s">
        <v>4928</v>
      </c>
      <c r="AF2033" s="663" t="s">
        <v>4929</v>
      </c>
    </row>
    <row r="2034" spans="1:32" s="608" customFormat="1" x14ac:dyDescent="0.25">
      <c r="A2034" s="624"/>
      <c r="B2034" s="617">
        <v>39095007206</v>
      </c>
      <c r="C2034" s="617" t="s">
        <v>3702</v>
      </c>
      <c r="D2034" s="617" t="s">
        <v>71</v>
      </c>
      <c r="E2034" s="617" t="s">
        <v>4855</v>
      </c>
      <c r="F2034" s="617" t="s">
        <v>26</v>
      </c>
      <c r="G2034" s="624"/>
      <c r="O2034" s="616"/>
      <c r="P2034" s="616"/>
      <c r="Q2034" s="616"/>
      <c r="AA2034" s="624"/>
      <c r="AB2034" s="663">
        <v>39101000400</v>
      </c>
      <c r="AC2034" s="663" t="s">
        <v>6966</v>
      </c>
      <c r="AD2034" s="663" t="s">
        <v>4927</v>
      </c>
      <c r="AE2034" s="663" t="s">
        <v>4939</v>
      </c>
      <c r="AF2034" s="663" t="s">
        <v>4929</v>
      </c>
    </row>
    <row r="2035" spans="1:32" s="608" customFormat="1" x14ac:dyDescent="0.25">
      <c r="A2035" s="624"/>
      <c r="B2035" s="617">
        <v>39095007207</v>
      </c>
      <c r="C2035" s="617" t="s">
        <v>3703</v>
      </c>
      <c r="D2035" s="617" t="s">
        <v>71</v>
      </c>
      <c r="E2035" s="617" t="s">
        <v>4855</v>
      </c>
      <c r="F2035" s="617" t="s">
        <v>26</v>
      </c>
      <c r="G2035" s="624"/>
      <c r="O2035" s="616"/>
      <c r="P2035" s="616"/>
      <c r="Q2035" s="616"/>
      <c r="AA2035" s="624"/>
      <c r="AB2035" s="663">
        <v>39101000501</v>
      </c>
      <c r="AC2035" s="663" t="s">
        <v>6967</v>
      </c>
      <c r="AD2035" s="663" t="s">
        <v>4927</v>
      </c>
      <c r="AE2035" s="663" t="s">
        <v>4928</v>
      </c>
      <c r="AF2035" s="663" t="s">
        <v>4983</v>
      </c>
    </row>
    <row r="2036" spans="1:32" s="608" customFormat="1" x14ac:dyDescent="0.25">
      <c r="A2036" s="624"/>
      <c r="B2036" s="617">
        <v>39095007208</v>
      </c>
      <c r="C2036" s="617" t="s">
        <v>3704</v>
      </c>
      <c r="D2036" s="617" t="s">
        <v>71</v>
      </c>
      <c r="E2036" s="617" t="s">
        <v>4855</v>
      </c>
      <c r="F2036" s="617" t="s">
        <v>26</v>
      </c>
      <c r="G2036" s="624"/>
      <c r="O2036" s="616"/>
      <c r="P2036" s="616"/>
      <c r="Q2036" s="616"/>
      <c r="AA2036" s="624"/>
      <c r="AB2036" s="663">
        <v>39101000502</v>
      </c>
      <c r="AC2036" s="663" t="s">
        <v>6968</v>
      </c>
      <c r="AD2036" s="663" t="s">
        <v>4927</v>
      </c>
      <c r="AE2036" s="663" t="s">
        <v>4928</v>
      </c>
      <c r="AF2036" s="663" t="s">
        <v>4983</v>
      </c>
    </row>
    <row r="2037" spans="1:32" s="608" customFormat="1" x14ac:dyDescent="0.25">
      <c r="A2037" s="624"/>
      <c r="B2037" s="617">
        <v>39095007209</v>
      </c>
      <c r="C2037" s="617" t="s">
        <v>3705</v>
      </c>
      <c r="D2037" s="617" t="s">
        <v>71</v>
      </c>
      <c r="E2037" s="617" t="s">
        <v>4855</v>
      </c>
      <c r="F2037" s="617" t="s">
        <v>26</v>
      </c>
      <c r="G2037" s="624"/>
      <c r="O2037" s="616"/>
      <c r="P2037" s="616"/>
      <c r="Q2037" s="616"/>
      <c r="AA2037" s="624"/>
      <c r="AB2037" s="663">
        <v>39101000600</v>
      </c>
      <c r="AC2037" s="663" t="s">
        <v>6969</v>
      </c>
      <c r="AD2037" s="663" t="s">
        <v>4938</v>
      </c>
      <c r="AE2037" s="663" t="s">
        <v>4934</v>
      </c>
      <c r="AF2037" s="663" t="s">
        <v>4929</v>
      </c>
    </row>
    <row r="2038" spans="1:32" s="608" customFormat="1" x14ac:dyDescent="0.25">
      <c r="A2038" s="624"/>
      <c r="B2038" s="617">
        <v>39095007302</v>
      </c>
      <c r="C2038" s="617" t="s">
        <v>3706</v>
      </c>
      <c r="D2038" s="617" t="s">
        <v>71</v>
      </c>
      <c r="E2038" s="617" t="s">
        <v>4855</v>
      </c>
      <c r="F2038" s="617" t="s">
        <v>26</v>
      </c>
      <c r="G2038" s="624"/>
      <c r="O2038" s="616"/>
      <c r="P2038" s="616"/>
      <c r="Q2038" s="616"/>
      <c r="AA2038" s="624"/>
      <c r="AB2038" s="663">
        <v>39101000700</v>
      </c>
      <c r="AC2038" s="663" t="s">
        <v>6970</v>
      </c>
      <c r="AD2038" s="663" t="s">
        <v>4941</v>
      </c>
      <c r="AE2038" s="663" t="s">
        <v>4928</v>
      </c>
      <c r="AF2038" s="663" t="s">
        <v>4983</v>
      </c>
    </row>
    <row r="2039" spans="1:32" s="608" customFormat="1" x14ac:dyDescent="0.25">
      <c r="A2039" s="624"/>
      <c r="B2039" s="617">
        <v>39095007304</v>
      </c>
      <c r="C2039" s="617" t="s">
        <v>3707</v>
      </c>
      <c r="D2039" s="617" t="s">
        <v>71</v>
      </c>
      <c r="E2039" s="617" t="s">
        <v>4855</v>
      </c>
      <c r="F2039" s="617" t="s">
        <v>26</v>
      </c>
      <c r="G2039" s="624"/>
      <c r="O2039" s="616"/>
      <c r="P2039" s="616"/>
      <c r="Q2039" s="616"/>
      <c r="AA2039" s="624"/>
      <c r="AB2039" s="663">
        <v>39101000800</v>
      </c>
      <c r="AC2039" s="663" t="s">
        <v>6971</v>
      </c>
      <c r="AD2039" s="663" t="s">
        <v>4950</v>
      </c>
      <c r="AE2039" s="663" t="s">
        <v>4942</v>
      </c>
      <c r="AF2039" s="663" t="s">
        <v>4983</v>
      </c>
    </row>
    <row r="2040" spans="1:32" s="608" customFormat="1" x14ac:dyDescent="0.25">
      <c r="A2040" s="624"/>
      <c r="B2040" s="617">
        <v>39095007305</v>
      </c>
      <c r="C2040" s="617" t="s">
        <v>3708</v>
      </c>
      <c r="D2040" s="617" t="s">
        <v>71</v>
      </c>
      <c r="E2040" s="617" t="s">
        <v>4855</v>
      </c>
      <c r="F2040" s="617" t="s">
        <v>26</v>
      </c>
      <c r="G2040" s="624"/>
      <c r="O2040" s="616"/>
      <c r="P2040" s="616"/>
      <c r="Q2040" s="616"/>
      <c r="AA2040" s="624"/>
      <c r="AB2040" s="663">
        <v>39101000900</v>
      </c>
      <c r="AC2040" s="663" t="s">
        <v>6972</v>
      </c>
      <c r="AD2040" s="663" t="s">
        <v>4927</v>
      </c>
      <c r="AE2040" s="663" t="s">
        <v>4931</v>
      </c>
      <c r="AF2040" s="663" t="s">
        <v>4983</v>
      </c>
    </row>
    <row r="2041" spans="1:32" s="608" customFormat="1" x14ac:dyDescent="0.25">
      <c r="A2041" s="624"/>
      <c r="B2041" s="617">
        <v>39095007306</v>
      </c>
      <c r="C2041" s="617" t="s">
        <v>3709</v>
      </c>
      <c r="D2041" s="617" t="s">
        <v>71</v>
      </c>
      <c r="E2041" s="617" t="s">
        <v>4855</v>
      </c>
      <c r="F2041" s="617" t="s">
        <v>24</v>
      </c>
      <c r="G2041" s="624"/>
      <c r="O2041" s="616"/>
      <c r="P2041" s="616"/>
      <c r="Q2041" s="616"/>
      <c r="AA2041" s="624"/>
      <c r="AB2041" s="663">
        <v>39101001000</v>
      </c>
      <c r="AC2041" s="663" t="s">
        <v>6973</v>
      </c>
      <c r="AD2041" s="663" t="s">
        <v>4938</v>
      </c>
      <c r="AE2041" s="663" t="s">
        <v>4928</v>
      </c>
      <c r="AF2041" s="663" t="s">
        <v>4929</v>
      </c>
    </row>
    <row r="2042" spans="1:32" s="608" customFormat="1" x14ac:dyDescent="0.25">
      <c r="A2042" s="624"/>
      <c r="B2042" s="617">
        <v>39095007307</v>
      </c>
      <c r="C2042" s="617" t="s">
        <v>3710</v>
      </c>
      <c r="D2042" s="617" t="s">
        <v>71</v>
      </c>
      <c r="E2042" s="617" t="s">
        <v>4855</v>
      </c>
      <c r="F2042" s="617" t="s">
        <v>24</v>
      </c>
      <c r="G2042" s="624"/>
      <c r="O2042" s="616"/>
      <c r="P2042" s="616"/>
      <c r="Q2042" s="616"/>
      <c r="AA2042" s="624"/>
      <c r="AB2042" s="663">
        <v>39101001100</v>
      </c>
      <c r="AC2042" s="663" t="s">
        <v>6974</v>
      </c>
      <c r="AD2042" s="663" t="s">
        <v>4927</v>
      </c>
      <c r="AE2042" s="663" t="s">
        <v>4931</v>
      </c>
      <c r="AF2042" s="663" t="s">
        <v>4929</v>
      </c>
    </row>
    <row r="2043" spans="1:32" s="608" customFormat="1" x14ac:dyDescent="0.25">
      <c r="A2043" s="624"/>
      <c r="B2043" s="617">
        <v>39095007401</v>
      </c>
      <c r="C2043" s="617" t="s">
        <v>3711</v>
      </c>
      <c r="D2043" s="617" t="s">
        <v>71</v>
      </c>
      <c r="E2043" s="617" t="s">
        <v>4855</v>
      </c>
      <c r="F2043" s="617" t="s">
        <v>24</v>
      </c>
      <c r="G2043" s="624"/>
      <c r="O2043" s="616"/>
      <c r="P2043" s="616"/>
      <c r="Q2043" s="616"/>
      <c r="AA2043" s="624"/>
      <c r="AB2043" s="663">
        <v>39101010100</v>
      </c>
      <c r="AC2043" s="663" t="s">
        <v>6975</v>
      </c>
      <c r="AD2043" s="663" t="s">
        <v>4950</v>
      </c>
      <c r="AE2043" s="663" t="s">
        <v>4928</v>
      </c>
      <c r="AF2043" s="663" t="s">
        <v>4929</v>
      </c>
    </row>
    <row r="2044" spans="1:32" s="608" customFormat="1" x14ac:dyDescent="0.25">
      <c r="A2044" s="624"/>
      <c r="B2044" s="617">
        <v>39095007402</v>
      </c>
      <c r="C2044" s="617" t="s">
        <v>3712</v>
      </c>
      <c r="D2044" s="617" t="s">
        <v>71</v>
      </c>
      <c r="E2044" s="617" t="s">
        <v>4855</v>
      </c>
      <c r="F2044" s="617" t="s">
        <v>26</v>
      </c>
      <c r="G2044" s="624"/>
      <c r="O2044" s="616"/>
      <c r="P2044" s="616"/>
      <c r="Q2044" s="616"/>
      <c r="AA2044" s="624"/>
      <c r="AB2044" s="663">
        <v>39101010201</v>
      </c>
      <c r="AC2044" s="663" t="s">
        <v>6976</v>
      </c>
      <c r="AD2044" s="663" t="s">
        <v>4938</v>
      </c>
      <c r="AE2044" s="663" t="s">
        <v>4931</v>
      </c>
      <c r="AF2044" s="663" t="s">
        <v>4929</v>
      </c>
    </row>
    <row r="2045" spans="1:32" s="608" customFormat="1" x14ac:dyDescent="0.25">
      <c r="A2045" s="624"/>
      <c r="B2045" s="617">
        <v>39095007501</v>
      </c>
      <c r="C2045" s="617" t="s">
        <v>3713</v>
      </c>
      <c r="D2045" s="617" t="s">
        <v>71</v>
      </c>
      <c r="E2045" s="617" t="s">
        <v>4855</v>
      </c>
      <c r="F2045" s="617" t="s">
        <v>24</v>
      </c>
      <c r="G2045" s="624"/>
      <c r="O2045" s="616"/>
      <c r="P2045" s="616"/>
      <c r="Q2045" s="616"/>
      <c r="AA2045" s="624"/>
      <c r="AB2045" s="663">
        <v>39101010202</v>
      </c>
      <c r="AC2045" s="663" t="s">
        <v>6977</v>
      </c>
      <c r="AD2045" s="663"/>
      <c r="AE2045" s="663" t="s">
        <v>5237</v>
      </c>
      <c r="AF2045" s="663" t="s">
        <v>4929</v>
      </c>
    </row>
    <row r="2046" spans="1:32" s="608" customFormat="1" x14ac:dyDescent="0.25">
      <c r="A2046" s="624"/>
      <c r="B2046" s="617">
        <v>39095007502</v>
      </c>
      <c r="C2046" s="617" t="s">
        <v>3714</v>
      </c>
      <c r="D2046" s="617" t="s">
        <v>71</v>
      </c>
      <c r="E2046" s="617" t="s">
        <v>4855</v>
      </c>
      <c r="F2046" s="617" t="s">
        <v>26</v>
      </c>
      <c r="G2046" s="624"/>
      <c r="O2046" s="616"/>
      <c r="P2046" s="616"/>
      <c r="Q2046" s="616"/>
      <c r="AA2046" s="624"/>
      <c r="AB2046" s="663">
        <v>39101010300</v>
      </c>
      <c r="AC2046" s="663" t="s">
        <v>6978</v>
      </c>
      <c r="AD2046" s="663" t="s">
        <v>4950</v>
      </c>
      <c r="AE2046" s="663" t="s">
        <v>4942</v>
      </c>
      <c r="AF2046" s="663" t="s">
        <v>4929</v>
      </c>
    </row>
    <row r="2047" spans="1:32" s="608" customFormat="1" x14ac:dyDescent="0.25">
      <c r="A2047" s="624"/>
      <c r="B2047" s="617">
        <v>39095007600</v>
      </c>
      <c r="C2047" s="617" t="s">
        <v>3715</v>
      </c>
      <c r="D2047" s="617" t="s">
        <v>71</v>
      </c>
      <c r="E2047" s="617" t="s">
        <v>4855</v>
      </c>
      <c r="F2047" s="617" t="s">
        <v>26</v>
      </c>
      <c r="G2047" s="624"/>
      <c r="O2047" s="616"/>
      <c r="P2047" s="616"/>
      <c r="Q2047" s="616"/>
      <c r="AA2047" s="624"/>
      <c r="AB2047" s="663">
        <v>39101010400</v>
      </c>
      <c r="AC2047" s="663" t="s">
        <v>6979</v>
      </c>
      <c r="AD2047" s="663" t="s">
        <v>4941</v>
      </c>
      <c r="AE2047" s="663" t="s">
        <v>4934</v>
      </c>
      <c r="AF2047" s="663" t="s">
        <v>4929</v>
      </c>
    </row>
    <row r="2048" spans="1:32" s="608" customFormat="1" x14ac:dyDescent="0.25">
      <c r="A2048" s="624"/>
      <c r="B2048" s="617">
        <v>39095007700</v>
      </c>
      <c r="C2048" s="617" t="s">
        <v>3716</v>
      </c>
      <c r="D2048" s="617" t="s">
        <v>71</v>
      </c>
      <c r="E2048" s="617" t="s">
        <v>4855</v>
      </c>
      <c r="F2048" s="617" t="s">
        <v>26</v>
      </c>
      <c r="G2048" s="624"/>
      <c r="O2048" s="616"/>
      <c r="P2048" s="616"/>
      <c r="Q2048" s="616"/>
      <c r="AA2048" s="624"/>
      <c r="AB2048" s="663">
        <v>39101010500</v>
      </c>
      <c r="AC2048" s="663" t="s">
        <v>6980</v>
      </c>
      <c r="AD2048" s="663" t="s">
        <v>4948</v>
      </c>
      <c r="AE2048" s="663" t="s">
        <v>4928</v>
      </c>
      <c r="AF2048" s="663" t="s">
        <v>4929</v>
      </c>
    </row>
    <row r="2049" spans="1:32" s="608" customFormat="1" x14ac:dyDescent="0.25">
      <c r="A2049" s="624"/>
      <c r="B2049" s="617">
        <v>39095007801</v>
      </c>
      <c r="C2049" s="617" t="s">
        <v>3717</v>
      </c>
      <c r="D2049" s="617" t="s">
        <v>71</v>
      </c>
      <c r="E2049" s="617" t="s">
        <v>4855</v>
      </c>
      <c r="F2049" s="617" t="s">
        <v>26</v>
      </c>
      <c r="G2049" s="624"/>
      <c r="O2049" s="616"/>
      <c r="P2049" s="616"/>
      <c r="Q2049" s="616"/>
      <c r="AA2049" s="624"/>
      <c r="AB2049" s="663">
        <v>39103400100</v>
      </c>
      <c r="AC2049" s="663" t="s">
        <v>6981</v>
      </c>
      <c r="AD2049" s="663" t="s">
        <v>4938</v>
      </c>
      <c r="AE2049" s="663" t="s">
        <v>4939</v>
      </c>
      <c r="AF2049" s="663" t="s">
        <v>4929</v>
      </c>
    </row>
    <row r="2050" spans="1:32" s="608" customFormat="1" x14ac:dyDescent="0.25">
      <c r="A2050" s="624"/>
      <c r="B2050" s="617">
        <v>39095007802</v>
      </c>
      <c r="C2050" s="617" t="s">
        <v>3718</v>
      </c>
      <c r="D2050" s="617" t="s">
        <v>71</v>
      </c>
      <c r="E2050" s="617" t="s">
        <v>4855</v>
      </c>
      <c r="F2050" s="617" t="s">
        <v>26</v>
      </c>
      <c r="G2050" s="624"/>
      <c r="O2050" s="616"/>
      <c r="P2050" s="616"/>
      <c r="Q2050" s="616"/>
      <c r="AA2050" s="624"/>
      <c r="AB2050" s="663">
        <v>39103402000</v>
      </c>
      <c r="AC2050" s="663" t="s">
        <v>6982</v>
      </c>
      <c r="AD2050" s="663" t="s">
        <v>4938</v>
      </c>
      <c r="AE2050" s="663" t="s">
        <v>4939</v>
      </c>
      <c r="AF2050" s="663" t="s">
        <v>4929</v>
      </c>
    </row>
    <row r="2051" spans="1:32" s="608" customFormat="1" x14ac:dyDescent="0.25">
      <c r="A2051" s="624"/>
      <c r="B2051" s="617">
        <v>39095007901</v>
      </c>
      <c r="C2051" s="617" t="s">
        <v>3719</v>
      </c>
      <c r="D2051" s="617" t="s">
        <v>71</v>
      </c>
      <c r="E2051" s="617" t="s">
        <v>4855</v>
      </c>
      <c r="F2051" s="617" t="s">
        <v>26</v>
      </c>
      <c r="G2051" s="624"/>
      <c r="O2051" s="616"/>
      <c r="P2051" s="616"/>
      <c r="Q2051" s="616"/>
      <c r="AA2051" s="624"/>
      <c r="AB2051" s="663">
        <v>39103403001</v>
      </c>
      <c r="AC2051" s="663" t="s">
        <v>6983</v>
      </c>
      <c r="AD2051" s="663" t="s">
        <v>4948</v>
      </c>
      <c r="AE2051" s="663" t="s">
        <v>4928</v>
      </c>
      <c r="AF2051" s="663" t="s">
        <v>4929</v>
      </c>
    </row>
    <row r="2052" spans="1:32" s="608" customFormat="1" x14ac:dyDescent="0.25">
      <c r="A2052" s="624"/>
      <c r="B2052" s="617">
        <v>39095007903</v>
      </c>
      <c r="C2052" s="617" t="s">
        <v>3720</v>
      </c>
      <c r="D2052" s="617" t="s">
        <v>71</v>
      </c>
      <c r="E2052" s="617" t="s">
        <v>4855</v>
      </c>
      <c r="F2052" s="617" t="s">
        <v>26</v>
      </c>
      <c r="G2052" s="624"/>
      <c r="O2052" s="616"/>
      <c r="P2052" s="616"/>
      <c r="Q2052" s="616"/>
      <c r="AA2052" s="624"/>
      <c r="AB2052" s="663">
        <v>39103403002</v>
      </c>
      <c r="AC2052" s="663" t="s">
        <v>6984</v>
      </c>
      <c r="AD2052" s="663" t="s">
        <v>4941</v>
      </c>
      <c r="AE2052" s="663" t="s">
        <v>4931</v>
      </c>
      <c r="AF2052" s="663" t="s">
        <v>4929</v>
      </c>
    </row>
    <row r="2053" spans="1:32" s="608" customFormat="1" x14ac:dyDescent="0.25">
      <c r="A2053" s="624"/>
      <c r="B2053" s="617">
        <v>39095007904</v>
      </c>
      <c r="C2053" s="617" t="s">
        <v>3721</v>
      </c>
      <c r="D2053" s="617" t="s">
        <v>71</v>
      </c>
      <c r="E2053" s="617" t="s">
        <v>4855</v>
      </c>
      <c r="F2053" s="617" t="s">
        <v>26</v>
      </c>
      <c r="G2053" s="624"/>
      <c r="O2053" s="616"/>
      <c r="P2053" s="616"/>
      <c r="Q2053" s="616"/>
      <c r="AA2053" s="624"/>
      <c r="AB2053" s="663">
        <v>39103404000</v>
      </c>
      <c r="AC2053" s="663" t="s">
        <v>6985</v>
      </c>
      <c r="AD2053" s="663" t="s">
        <v>4938</v>
      </c>
      <c r="AE2053" s="663" t="s">
        <v>4934</v>
      </c>
      <c r="AF2053" s="663" t="s">
        <v>4929</v>
      </c>
    </row>
    <row r="2054" spans="1:32" s="608" customFormat="1" x14ac:dyDescent="0.25">
      <c r="A2054" s="624"/>
      <c r="B2054" s="617">
        <v>39095008000</v>
      </c>
      <c r="C2054" s="617" t="s">
        <v>3722</v>
      </c>
      <c r="D2054" s="617" t="s">
        <v>71</v>
      </c>
      <c r="E2054" s="617" t="s">
        <v>4855</v>
      </c>
      <c r="F2054" s="617" t="s">
        <v>26</v>
      </c>
      <c r="G2054" s="624"/>
      <c r="O2054" s="616"/>
      <c r="P2054" s="616"/>
      <c r="Q2054" s="616"/>
      <c r="AA2054" s="624"/>
      <c r="AB2054" s="663">
        <v>39103405000</v>
      </c>
      <c r="AC2054" s="663" t="s">
        <v>6986</v>
      </c>
      <c r="AD2054" s="663" t="s">
        <v>4938</v>
      </c>
      <c r="AE2054" s="663" t="s">
        <v>4934</v>
      </c>
      <c r="AF2054" s="663" t="s">
        <v>4929</v>
      </c>
    </row>
    <row r="2055" spans="1:32" s="608" customFormat="1" x14ac:dyDescent="0.25">
      <c r="A2055" s="624"/>
      <c r="B2055" s="617">
        <v>39095008100</v>
      </c>
      <c r="C2055" s="617" t="s">
        <v>3723</v>
      </c>
      <c r="D2055" s="617" t="s">
        <v>71</v>
      </c>
      <c r="E2055" s="617" t="s">
        <v>4855</v>
      </c>
      <c r="F2055" s="617" t="s">
        <v>26</v>
      </c>
      <c r="G2055" s="624"/>
      <c r="O2055" s="616"/>
      <c r="P2055" s="616"/>
      <c r="Q2055" s="616"/>
      <c r="AA2055" s="624"/>
      <c r="AB2055" s="663">
        <v>39103406000</v>
      </c>
      <c r="AC2055" s="663" t="s">
        <v>6987</v>
      </c>
      <c r="AD2055" s="663" t="s">
        <v>4938</v>
      </c>
      <c r="AE2055" s="663" t="s">
        <v>4934</v>
      </c>
      <c r="AF2055" s="663" t="s">
        <v>4929</v>
      </c>
    </row>
    <row r="2056" spans="1:32" s="608" customFormat="1" x14ac:dyDescent="0.25">
      <c r="A2056" s="624"/>
      <c r="B2056" s="617">
        <v>39095008204</v>
      </c>
      <c r="C2056" s="617" t="s">
        <v>3724</v>
      </c>
      <c r="D2056" s="617" t="s">
        <v>71</v>
      </c>
      <c r="E2056" s="617" t="s">
        <v>4855</v>
      </c>
      <c r="F2056" s="617" t="s">
        <v>26</v>
      </c>
      <c r="G2056" s="624"/>
      <c r="O2056" s="616"/>
      <c r="P2056" s="616"/>
      <c r="Q2056" s="616"/>
      <c r="AA2056" s="624"/>
      <c r="AB2056" s="663">
        <v>39103407000</v>
      </c>
      <c r="AC2056" s="663" t="s">
        <v>6988</v>
      </c>
      <c r="AD2056" s="663" t="s">
        <v>4938</v>
      </c>
      <c r="AE2056" s="663" t="s">
        <v>4928</v>
      </c>
      <c r="AF2056" s="663" t="s">
        <v>4929</v>
      </c>
    </row>
    <row r="2057" spans="1:32" s="608" customFormat="1" x14ac:dyDescent="0.25">
      <c r="A2057" s="624"/>
      <c r="B2057" s="617">
        <v>39095008205</v>
      </c>
      <c r="C2057" s="617" t="s">
        <v>3725</v>
      </c>
      <c r="D2057" s="617" t="s">
        <v>71</v>
      </c>
      <c r="E2057" s="617" t="s">
        <v>4855</v>
      </c>
      <c r="F2057" s="617" t="s">
        <v>26</v>
      </c>
      <c r="G2057" s="624"/>
      <c r="O2057" s="616"/>
      <c r="P2057" s="616"/>
      <c r="Q2057" s="616"/>
      <c r="AA2057" s="624"/>
      <c r="AB2057" s="663">
        <v>39103408001</v>
      </c>
      <c r="AC2057" s="663" t="s">
        <v>6989</v>
      </c>
      <c r="AD2057" s="663" t="s">
        <v>4941</v>
      </c>
      <c r="AE2057" s="663" t="s">
        <v>4931</v>
      </c>
      <c r="AF2057" s="663" t="s">
        <v>4946</v>
      </c>
    </row>
    <row r="2058" spans="1:32" s="608" customFormat="1" x14ac:dyDescent="0.25">
      <c r="A2058" s="624"/>
      <c r="B2058" s="617">
        <v>39095008206</v>
      </c>
      <c r="C2058" s="617" t="s">
        <v>3726</v>
      </c>
      <c r="D2058" s="617" t="s">
        <v>71</v>
      </c>
      <c r="E2058" s="617" t="s">
        <v>4855</v>
      </c>
      <c r="F2058" s="617" t="s">
        <v>26</v>
      </c>
      <c r="G2058" s="624"/>
      <c r="O2058" s="616"/>
      <c r="P2058" s="616"/>
      <c r="Q2058" s="616"/>
      <c r="AA2058" s="624"/>
      <c r="AB2058" s="663">
        <v>39103408002</v>
      </c>
      <c r="AC2058" s="663" t="s">
        <v>6990</v>
      </c>
      <c r="AD2058" s="663" t="s">
        <v>4938</v>
      </c>
      <c r="AE2058" s="663" t="s">
        <v>4934</v>
      </c>
      <c r="AF2058" s="663" t="s">
        <v>4946</v>
      </c>
    </row>
    <row r="2059" spans="1:32" s="608" customFormat="1" x14ac:dyDescent="0.25">
      <c r="A2059" s="624"/>
      <c r="B2059" s="617">
        <v>39095008207</v>
      </c>
      <c r="C2059" s="617" t="s">
        <v>3727</v>
      </c>
      <c r="D2059" s="617" t="s">
        <v>71</v>
      </c>
      <c r="E2059" s="617" t="s">
        <v>4855</v>
      </c>
      <c r="F2059" s="617" t="s">
        <v>26</v>
      </c>
      <c r="G2059" s="624"/>
      <c r="O2059" s="616"/>
      <c r="P2059" s="616"/>
      <c r="Q2059" s="616"/>
      <c r="AA2059" s="624"/>
      <c r="AB2059" s="663">
        <v>39103408003</v>
      </c>
      <c r="AC2059" s="663" t="s">
        <v>6991</v>
      </c>
      <c r="AD2059" s="663" t="s">
        <v>4941</v>
      </c>
      <c r="AE2059" s="663" t="s">
        <v>4939</v>
      </c>
      <c r="AF2059" s="663" t="s">
        <v>4946</v>
      </c>
    </row>
    <row r="2060" spans="1:32" s="608" customFormat="1" x14ac:dyDescent="0.25">
      <c r="A2060" s="624"/>
      <c r="B2060" s="617">
        <v>39095008208</v>
      </c>
      <c r="C2060" s="617" t="s">
        <v>3728</v>
      </c>
      <c r="D2060" s="617" t="s">
        <v>71</v>
      </c>
      <c r="E2060" s="617" t="s">
        <v>4855</v>
      </c>
      <c r="F2060" s="617" t="s">
        <v>26</v>
      </c>
      <c r="G2060" s="624"/>
      <c r="O2060" s="616"/>
      <c r="P2060" s="616"/>
      <c r="Q2060" s="616"/>
      <c r="AA2060" s="624"/>
      <c r="AB2060" s="663">
        <v>39103408100</v>
      </c>
      <c r="AC2060" s="663" t="s">
        <v>6992</v>
      </c>
      <c r="AD2060" s="663" t="s">
        <v>4950</v>
      </c>
      <c r="AE2060" s="663" t="s">
        <v>4931</v>
      </c>
      <c r="AF2060" s="663" t="s">
        <v>4946</v>
      </c>
    </row>
    <row r="2061" spans="1:32" s="608" customFormat="1" x14ac:dyDescent="0.25">
      <c r="A2061" s="624"/>
      <c r="B2061" s="617">
        <v>39095008209</v>
      </c>
      <c r="C2061" s="617" t="s">
        <v>3729</v>
      </c>
      <c r="D2061" s="617" t="s">
        <v>71</v>
      </c>
      <c r="E2061" s="617" t="s">
        <v>4855</v>
      </c>
      <c r="F2061" s="617" t="s">
        <v>26</v>
      </c>
      <c r="G2061" s="624"/>
      <c r="O2061" s="616"/>
      <c r="P2061" s="616"/>
      <c r="Q2061" s="616"/>
      <c r="AA2061" s="624"/>
      <c r="AB2061" s="663">
        <v>39103408201</v>
      </c>
      <c r="AC2061" s="663" t="s">
        <v>6993</v>
      </c>
      <c r="AD2061" s="663" t="s">
        <v>4950</v>
      </c>
      <c r="AE2061" s="663" t="s">
        <v>4928</v>
      </c>
      <c r="AF2061" s="663" t="s">
        <v>4946</v>
      </c>
    </row>
    <row r="2062" spans="1:32" s="608" customFormat="1" x14ac:dyDescent="0.25">
      <c r="A2062" s="624"/>
      <c r="B2062" s="617">
        <v>39095008210</v>
      </c>
      <c r="C2062" s="617" t="s">
        <v>3730</v>
      </c>
      <c r="D2062" s="617" t="s">
        <v>71</v>
      </c>
      <c r="E2062" s="617" t="s">
        <v>4855</v>
      </c>
      <c r="F2062" s="617" t="s">
        <v>26</v>
      </c>
      <c r="G2062" s="624"/>
      <c r="O2062" s="616"/>
      <c r="P2062" s="616"/>
      <c r="Q2062" s="616"/>
      <c r="AA2062" s="624"/>
      <c r="AB2062" s="663">
        <v>39103408202</v>
      </c>
      <c r="AC2062" s="663" t="s">
        <v>6994</v>
      </c>
      <c r="AD2062" s="663" t="s">
        <v>4950</v>
      </c>
      <c r="AE2062" s="663" t="s">
        <v>4934</v>
      </c>
      <c r="AF2062" s="663" t="s">
        <v>4946</v>
      </c>
    </row>
    <row r="2063" spans="1:32" s="608" customFormat="1" x14ac:dyDescent="0.25">
      <c r="A2063" s="624"/>
      <c r="B2063" s="617">
        <v>39095008302</v>
      </c>
      <c r="C2063" s="617" t="s">
        <v>3731</v>
      </c>
      <c r="D2063" s="617" t="s">
        <v>71</v>
      </c>
      <c r="E2063" s="617" t="s">
        <v>4855</v>
      </c>
      <c r="F2063" s="617" t="s">
        <v>26</v>
      </c>
      <c r="G2063" s="624"/>
      <c r="O2063" s="616"/>
      <c r="P2063" s="616"/>
      <c r="Q2063" s="616"/>
      <c r="AA2063" s="624"/>
      <c r="AB2063" s="663">
        <v>39103408301</v>
      </c>
      <c r="AC2063" s="663" t="s">
        <v>6995</v>
      </c>
      <c r="AD2063" s="663" t="s">
        <v>4938</v>
      </c>
      <c r="AE2063" s="663" t="s">
        <v>4931</v>
      </c>
      <c r="AF2063" s="663" t="s">
        <v>4946</v>
      </c>
    </row>
    <row r="2064" spans="1:32" s="608" customFormat="1" x14ac:dyDescent="0.25">
      <c r="A2064" s="624"/>
      <c r="B2064" s="617">
        <v>39095008303</v>
      </c>
      <c r="C2064" s="617" t="s">
        <v>3732</v>
      </c>
      <c r="D2064" s="617" t="s">
        <v>71</v>
      </c>
      <c r="E2064" s="617" t="s">
        <v>4855</v>
      </c>
      <c r="F2064" s="617" t="s">
        <v>26</v>
      </c>
      <c r="G2064" s="624"/>
      <c r="O2064" s="616"/>
      <c r="P2064" s="616"/>
      <c r="Q2064" s="616"/>
      <c r="AA2064" s="624"/>
      <c r="AB2064" s="663">
        <v>39103408302</v>
      </c>
      <c r="AC2064" s="663" t="s">
        <v>6996</v>
      </c>
      <c r="AD2064" s="663" t="s">
        <v>4950</v>
      </c>
      <c r="AE2064" s="663" t="s">
        <v>4939</v>
      </c>
      <c r="AF2064" s="663" t="s">
        <v>4946</v>
      </c>
    </row>
    <row r="2065" spans="1:32" s="608" customFormat="1" x14ac:dyDescent="0.25">
      <c r="A2065" s="624"/>
      <c r="B2065" s="617">
        <v>39095008304</v>
      </c>
      <c r="C2065" s="617" t="s">
        <v>3733</v>
      </c>
      <c r="D2065" s="617" t="s">
        <v>71</v>
      </c>
      <c r="E2065" s="617" t="s">
        <v>4855</v>
      </c>
      <c r="F2065" s="617" t="s">
        <v>26</v>
      </c>
      <c r="G2065" s="624"/>
      <c r="O2065" s="616"/>
      <c r="P2065" s="616"/>
      <c r="Q2065" s="616"/>
      <c r="AA2065" s="624"/>
      <c r="AB2065" s="663">
        <v>39103409001</v>
      </c>
      <c r="AC2065" s="663" t="s">
        <v>6997</v>
      </c>
      <c r="AD2065" s="663" t="s">
        <v>4948</v>
      </c>
      <c r="AE2065" s="663" t="s">
        <v>4934</v>
      </c>
      <c r="AF2065" s="663" t="s">
        <v>4929</v>
      </c>
    </row>
    <row r="2066" spans="1:32" s="608" customFormat="1" x14ac:dyDescent="0.25">
      <c r="A2066" s="624"/>
      <c r="B2066" s="617">
        <v>39095008401</v>
      </c>
      <c r="C2066" s="617" t="s">
        <v>3734</v>
      </c>
      <c r="D2066" s="617" t="s">
        <v>71</v>
      </c>
      <c r="E2066" s="617" t="s">
        <v>4855</v>
      </c>
      <c r="F2066" s="617" t="s">
        <v>26</v>
      </c>
      <c r="G2066" s="624"/>
      <c r="O2066" s="616"/>
      <c r="P2066" s="616"/>
      <c r="Q2066" s="616"/>
      <c r="AA2066" s="624"/>
      <c r="AB2066" s="663">
        <v>39103409002</v>
      </c>
      <c r="AC2066" s="663" t="s">
        <v>6998</v>
      </c>
      <c r="AD2066" s="663" t="s">
        <v>4941</v>
      </c>
      <c r="AE2066" s="663" t="s">
        <v>4928</v>
      </c>
      <c r="AF2066" s="663" t="s">
        <v>4929</v>
      </c>
    </row>
    <row r="2067" spans="1:32" s="608" customFormat="1" x14ac:dyDescent="0.25">
      <c r="A2067" s="624"/>
      <c r="B2067" s="617">
        <v>39095008402</v>
      </c>
      <c r="C2067" s="617" t="s">
        <v>3735</v>
      </c>
      <c r="D2067" s="617" t="s">
        <v>71</v>
      </c>
      <c r="E2067" s="617" t="s">
        <v>4855</v>
      </c>
      <c r="F2067" s="617" t="s">
        <v>26</v>
      </c>
      <c r="G2067" s="624"/>
      <c r="O2067" s="616"/>
      <c r="P2067" s="616"/>
      <c r="Q2067" s="616"/>
      <c r="AA2067" s="624"/>
      <c r="AB2067" s="663">
        <v>39103410000</v>
      </c>
      <c r="AC2067" s="663" t="s">
        <v>6999</v>
      </c>
      <c r="AD2067" s="663" t="s">
        <v>4950</v>
      </c>
      <c r="AE2067" s="663" t="s">
        <v>4939</v>
      </c>
      <c r="AF2067" s="663" t="s">
        <v>4929</v>
      </c>
    </row>
    <row r="2068" spans="1:32" s="608" customFormat="1" x14ac:dyDescent="0.25">
      <c r="A2068" s="624"/>
      <c r="B2068" s="617">
        <v>39095008501</v>
      </c>
      <c r="C2068" s="617" t="s">
        <v>3736</v>
      </c>
      <c r="D2068" s="617" t="s">
        <v>71</v>
      </c>
      <c r="E2068" s="617" t="s">
        <v>4855</v>
      </c>
      <c r="F2068" s="617" t="s">
        <v>26</v>
      </c>
      <c r="G2068" s="624"/>
      <c r="O2068" s="616"/>
      <c r="P2068" s="616"/>
      <c r="Q2068" s="616"/>
      <c r="AA2068" s="624"/>
      <c r="AB2068" s="663">
        <v>39103411001</v>
      </c>
      <c r="AC2068" s="663" t="s">
        <v>7000</v>
      </c>
      <c r="AD2068" s="663" t="s">
        <v>4948</v>
      </c>
      <c r="AE2068" s="663" t="s">
        <v>4934</v>
      </c>
      <c r="AF2068" s="663" t="s">
        <v>4929</v>
      </c>
    </row>
    <row r="2069" spans="1:32" s="608" customFormat="1" x14ac:dyDescent="0.25">
      <c r="A2069" s="624"/>
      <c r="B2069" s="617">
        <v>39095008502</v>
      </c>
      <c r="C2069" s="617" t="s">
        <v>3737</v>
      </c>
      <c r="D2069" s="617" t="s">
        <v>71</v>
      </c>
      <c r="E2069" s="617" t="s">
        <v>4855</v>
      </c>
      <c r="F2069" s="617" t="s">
        <v>26</v>
      </c>
      <c r="G2069" s="624"/>
      <c r="O2069" s="616"/>
      <c r="P2069" s="616"/>
      <c r="Q2069" s="616"/>
      <c r="AA2069" s="624"/>
      <c r="AB2069" s="663">
        <v>39103411002</v>
      </c>
      <c r="AC2069" s="663" t="s">
        <v>7001</v>
      </c>
      <c r="AD2069" s="663" t="s">
        <v>4950</v>
      </c>
      <c r="AE2069" s="663" t="s">
        <v>4942</v>
      </c>
      <c r="AF2069" s="663" t="s">
        <v>4929</v>
      </c>
    </row>
    <row r="2070" spans="1:32" s="608" customFormat="1" x14ac:dyDescent="0.25">
      <c r="A2070" s="624"/>
      <c r="B2070" s="617">
        <v>39095008601</v>
      </c>
      <c r="C2070" s="617" t="s">
        <v>3738</v>
      </c>
      <c r="D2070" s="617" t="s">
        <v>71</v>
      </c>
      <c r="E2070" s="617" t="s">
        <v>4855</v>
      </c>
      <c r="F2070" s="617" t="s">
        <v>26</v>
      </c>
      <c r="G2070" s="624"/>
      <c r="O2070" s="616"/>
      <c r="P2070" s="616"/>
      <c r="Q2070" s="616"/>
      <c r="AA2070" s="624"/>
      <c r="AB2070" s="663">
        <v>39103412000</v>
      </c>
      <c r="AC2070" s="663" t="s">
        <v>7002</v>
      </c>
      <c r="AD2070" s="663" t="s">
        <v>4938</v>
      </c>
      <c r="AE2070" s="663" t="s">
        <v>4934</v>
      </c>
      <c r="AF2070" s="663" t="s">
        <v>4929</v>
      </c>
    </row>
    <row r="2071" spans="1:32" s="608" customFormat="1" x14ac:dyDescent="0.25">
      <c r="A2071" s="624"/>
      <c r="B2071" s="617">
        <v>39095008602</v>
      </c>
      <c r="C2071" s="617" t="s">
        <v>3739</v>
      </c>
      <c r="D2071" s="617" t="s">
        <v>71</v>
      </c>
      <c r="E2071" s="617" t="s">
        <v>4855</v>
      </c>
      <c r="F2071" s="617" t="s">
        <v>26</v>
      </c>
      <c r="G2071" s="624"/>
      <c r="O2071" s="616"/>
      <c r="P2071" s="616"/>
      <c r="Q2071" s="616"/>
      <c r="AA2071" s="624"/>
      <c r="AB2071" s="663">
        <v>39103413000</v>
      </c>
      <c r="AC2071" s="663" t="s">
        <v>7003</v>
      </c>
      <c r="AD2071" s="663" t="s">
        <v>4941</v>
      </c>
      <c r="AE2071" s="663" t="s">
        <v>4934</v>
      </c>
      <c r="AF2071" s="663" t="s">
        <v>4929</v>
      </c>
    </row>
    <row r="2072" spans="1:32" s="608" customFormat="1" x14ac:dyDescent="0.25">
      <c r="A2072" s="624"/>
      <c r="B2072" s="617">
        <v>39095008701</v>
      </c>
      <c r="C2072" s="617" t="s">
        <v>3740</v>
      </c>
      <c r="D2072" s="617" t="s">
        <v>71</v>
      </c>
      <c r="E2072" s="617" t="s">
        <v>4855</v>
      </c>
      <c r="F2072" s="617" t="s">
        <v>26</v>
      </c>
      <c r="G2072" s="624"/>
      <c r="O2072" s="616"/>
      <c r="P2072" s="616"/>
      <c r="Q2072" s="616"/>
      <c r="AA2072" s="624"/>
      <c r="AB2072" s="663">
        <v>39103415100</v>
      </c>
      <c r="AC2072" s="663" t="s">
        <v>7004</v>
      </c>
      <c r="AD2072" s="663" t="s">
        <v>4941</v>
      </c>
      <c r="AE2072" s="663" t="s">
        <v>4931</v>
      </c>
      <c r="AF2072" s="663" t="s">
        <v>4946</v>
      </c>
    </row>
    <row r="2073" spans="1:32" s="608" customFormat="1" x14ac:dyDescent="0.25">
      <c r="A2073" s="624"/>
      <c r="B2073" s="617">
        <v>39095008702</v>
      </c>
      <c r="C2073" s="617" t="s">
        <v>3741</v>
      </c>
      <c r="D2073" s="617" t="s">
        <v>71</v>
      </c>
      <c r="E2073" s="617" t="s">
        <v>4855</v>
      </c>
      <c r="F2073" s="617" t="s">
        <v>26</v>
      </c>
      <c r="G2073" s="624"/>
      <c r="O2073" s="616"/>
      <c r="P2073" s="616"/>
      <c r="Q2073" s="616"/>
      <c r="AA2073" s="624"/>
      <c r="AB2073" s="663">
        <v>39103415200</v>
      </c>
      <c r="AC2073" s="663" t="s">
        <v>7005</v>
      </c>
      <c r="AD2073" s="663" t="s">
        <v>4948</v>
      </c>
      <c r="AE2073" s="663" t="s">
        <v>4931</v>
      </c>
      <c r="AF2073" s="663" t="s">
        <v>4946</v>
      </c>
    </row>
    <row r="2074" spans="1:32" s="608" customFormat="1" x14ac:dyDescent="0.25">
      <c r="A2074" s="624"/>
      <c r="B2074" s="617">
        <v>39095008703</v>
      </c>
      <c r="C2074" s="617" t="s">
        <v>3742</v>
      </c>
      <c r="D2074" s="617" t="s">
        <v>71</v>
      </c>
      <c r="E2074" s="617" t="s">
        <v>4855</v>
      </c>
      <c r="F2074" s="617" t="s">
        <v>26</v>
      </c>
      <c r="G2074" s="624"/>
      <c r="O2074" s="616"/>
      <c r="P2074" s="616"/>
      <c r="Q2074" s="616"/>
      <c r="AA2074" s="624"/>
      <c r="AB2074" s="663">
        <v>39103415300</v>
      </c>
      <c r="AC2074" s="663" t="s">
        <v>7006</v>
      </c>
      <c r="AD2074" s="663" t="s">
        <v>4948</v>
      </c>
      <c r="AE2074" s="663" t="s">
        <v>4942</v>
      </c>
      <c r="AF2074" s="663" t="s">
        <v>4946</v>
      </c>
    </row>
    <row r="2075" spans="1:32" s="608" customFormat="1" x14ac:dyDescent="0.25">
      <c r="A2075" s="624"/>
      <c r="B2075" s="617">
        <v>39095008801</v>
      </c>
      <c r="C2075" s="617" t="s">
        <v>3743</v>
      </c>
      <c r="D2075" s="617" t="s">
        <v>71</v>
      </c>
      <c r="E2075" s="617" t="s">
        <v>4855</v>
      </c>
      <c r="F2075" s="617" t="s">
        <v>26</v>
      </c>
      <c r="G2075" s="624"/>
      <c r="O2075" s="616"/>
      <c r="P2075" s="616"/>
      <c r="Q2075" s="616"/>
      <c r="AA2075" s="624"/>
      <c r="AB2075" s="663">
        <v>39103415400</v>
      </c>
      <c r="AC2075" s="663" t="s">
        <v>7007</v>
      </c>
      <c r="AD2075" s="663" t="s">
        <v>4950</v>
      </c>
      <c r="AE2075" s="663" t="s">
        <v>4928</v>
      </c>
      <c r="AF2075" s="663" t="s">
        <v>4946</v>
      </c>
    </row>
    <row r="2076" spans="1:32" s="608" customFormat="1" x14ac:dyDescent="0.25">
      <c r="A2076" s="624"/>
      <c r="B2076" s="617">
        <v>39095008802</v>
      </c>
      <c r="C2076" s="617" t="s">
        <v>3744</v>
      </c>
      <c r="D2076" s="617" t="s">
        <v>71</v>
      </c>
      <c r="E2076" s="617" t="s">
        <v>4855</v>
      </c>
      <c r="F2076" s="617" t="s">
        <v>26</v>
      </c>
      <c r="G2076" s="624"/>
      <c r="O2076" s="616"/>
      <c r="P2076" s="616"/>
      <c r="Q2076" s="616"/>
      <c r="AA2076" s="624"/>
      <c r="AB2076" s="663">
        <v>39103415800</v>
      </c>
      <c r="AC2076" s="663" t="s">
        <v>7008</v>
      </c>
      <c r="AD2076" s="663" t="s">
        <v>4948</v>
      </c>
      <c r="AE2076" s="663" t="s">
        <v>4934</v>
      </c>
      <c r="AF2076" s="663" t="s">
        <v>4946</v>
      </c>
    </row>
    <row r="2077" spans="1:32" s="608" customFormat="1" x14ac:dyDescent="0.25">
      <c r="A2077" s="624"/>
      <c r="B2077" s="617">
        <v>39095008903</v>
      </c>
      <c r="C2077" s="617" t="s">
        <v>3745</v>
      </c>
      <c r="D2077" s="617" t="s">
        <v>71</v>
      </c>
      <c r="E2077" s="617" t="s">
        <v>4855</v>
      </c>
      <c r="F2077" s="617" t="s">
        <v>26</v>
      </c>
      <c r="G2077" s="624"/>
      <c r="O2077" s="616"/>
      <c r="P2077" s="616"/>
      <c r="Q2077" s="616"/>
      <c r="AA2077" s="624"/>
      <c r="AB2077" s="663">
        <v>39103416000</v>
      </c>
      <c r="AC2077" s="663" t="s">
        <v>7009</v>
      </c>
      <c r="AD2077" s="663" t="s">
        <v>4948</v>
      </c>
      <c r="AE2077" s="663" t="s">
        <v>4931</v>
      </c>
      <c r="AF2077" s="663" t="s">
        <v>4946</v>
      </c>
    </row>
    <row r="2078" spans="1:32" s="608" customFormat="1" x14ac:dyDescent="0.25">
      <c r="A2078" s="624"/>
      <c r="B2078" s="617">
        <v>39095008904</v>
      </c>
      <c r="C2078" s="617" t="s">
        <v>3746</v>
      </c>
      <c r="D2078" s="617" t="s">
        <v>71</v>
      </c>
      <c r="E2078" s="617" t="s">
        <v>4855</v>
      </c>
      <c r="F2078" s="617" t="s">
        <v>26</v>
      </c>
      <c r="G2078" s="624"/>
      <c r="O2078" s="616"/>
      <c r="P2078" s="616"/>
      <c r="Q2078" s="616"/>
      <c r="AA2078" s="624"/>
      <c r="AB2078" s="663">
        <v>39103416100</v>
      </c>
      <c r="AC2078" s="663" t="s">
        <v>7010</v>
      </c>
      <c r="AD2078" s="663" t="s">
        <v>4938</v>
      </c>
      <c r="AE2078" s="663" t="s">
        <v>4931</v>
      </c>
      <c r="AF2078" s="663" t="s">
        <v>4929</v>
      </c>
    </row>
    <row r="2079" spans="1:32" s="608" customFormat="1" x14ac:dyDescent="0.25">
      <c r="A2079" s="624"/>
      <c r="B2079" s="617">
        <v>39095008905</v>
      </c>
      <c r="C2079" s="617" t="s">
        <v>3747</v>
      </c>
      <c r="D2079" s="617" t="s">
        <v>71</v>
      </c>
      <c r="E2079" s="617" t="s">
        <v>4855</v>
      </c>
      <c r="F2079" s="617" t="s">
        <v>26</v>
      </c>
      <c r="G2079" s="624"/>
      <c r="O2079" s="616"/>
      <c r="P2079" s="616"/>
      <c r="Q2079" s="616"/>
      <c r="AA2079" s="624"/>
      <c r="AB2079" s="663">
        <v>39103416200</v>
      </c>
      <c r="AC2079" s="663" t="s">
        <v>7011</v>
      </c>
      <c r="AD2079" s="663" t="s">
        <v>4941</v>
      </c>
      <c r="AE2079" s="663" t="s">
        <v>4931</v>
      </c>
      <c r="AF2079" s="663" t="s">
        <v>4929</v>
      </c>
    </row>
    <row r="2080" spans="1:32" s="608" customFormat="1" x14ac:dyDescent="0.25">
      <c r="A2080" s="624"/>
      <c r="B2080" s="617">
        <v>39095008906</v>
      </c>
      <c r="C2080" s="617" t="s">
        <v>3748</v>
      </c>
      <c r="D2080" s="617" t="s">
        <v>71</v>
      </c>
      <c r="E2080" s="617" t="s">
        <v>4855</v>
      </c>
      <c r="F2080" s="617" t="s">
        <v>26</v>
      </c>
      <c r="G2080" s="624"/>
      <c r="O2080" s="616"/>
      <c r="P2080" s="616"/>
      <c r="Q2080" s="616"/>
      <c r="AA2080" s="624"/>
      <c r="AB2080" s="663">
        <v>39103416300</v>
      </c>
      <c r="AC2080" s="663" t="s">
        <v>7012</v>
      </c>
      <c r="AD2080" s="663" t="s">
        <v>4948</v>
      </c>
      <c r="AE2080" s="663" t="s">
        <v>4942</v>
      </c>
      <c r="AF2080" s="663" t="s">
        <v>4946</v>
      </c>
    </row>
    <row r="2081" spans="1:32" s="608" customFormat="1" x14ac:dyDescent="0.25">
      <c r="A2081" s="624"/>
      <c r="B2081" s="617">
        <v>39095009001</v>
      </c>
      <c r="C2081" s="617" t="s">
        <v>3749</v>
      </c>
      <c r="D2081" s="617" t="s">
        <v>71</v>
      </c>
      <c r="E2081" s="617" t="s">
        <v>4855</v>
      </c>
      <c r="F2081" s="617" t="s">
        <v>26</v>
      </c>
      <c r="G2081" s="624"/>
      <c r="O2081" s="616"/>
      <c r="P2081" s="616"/>
      <c r="Q2081" s="616"/>
      <c r="AA2081" s="624"/>
      <c r="AB2081" s="663">
        <v>39103416400</v>
      </c>
      <c r="AC2081" s="663" t="s">
        <v>7013</v>
      </c>
      <c r="AD2081" s="663" t="s">
        <v>4948</v>
      </c>
      <c r="AE2081" s="663" t="s">
        <v>4931</v>
      </c>
      <c r="AF2081" s="663" t="s">
        <v>4946</v>
      </c>
    </row>
    <row r="2082" spans="1:32" s="608" customFormat="1" x14ac:dyDescent="0.25">
      <c r="A2082" s="624"/>
      <c r="B2082" s="617">
        <v>39095009002</v>
      </c>
      <c r="C2082" s="617" t="s">
        <v>3750</v>
      </c>
      <c r="D2082" s="617" t="s">
        <v>71</v>
      </c>
      <c r="E2082" s="617" t="s">
        <v>4855</v>
      </c>
      <c r="F2082" s="617" t="s">
        <v>26</v>
      </c>
      <c r="G2082" s="624"/>
      <c r="O2082" s="616"/>
      <c r="P2082" s="616"/>
      <c r="Q2082" s="616"/>
      <c r="AA2082" s="624"/>
      <c r="AB2082" s="663">
        <v>39103417000</v>
      </c>
      <c r="AC2082" s="663" t="s">
        <v>7014</v>
      </c>
      <c r="AD2082" s="663" t="s">
        <v>4941</v>
      </c>
      <c r="AE2082" s="663" t="s">
        <v>4939</v>
      </c>
      <c r="AF2082" s="663" t="s">
        <v>4946</v>
      </c>
    </row>
    <row r="2083" spans="1:32" s="608" customFormat="1" x14ac:dyDescent="0.25">
      <c r="A2083" s="624"/>
      <c r="B2083" s="617">
        <v>39095009003</v>
      </c>
      <c r="C2083" s="617" t="s">
        <v>3751</v>
      </c>
      <c r="D2083" s="617" t="s">
        <v>71</v>
      </c>
      <c r="E2083" s="617" t="s">
        <v>4855</v>
      </c>
      <c r="F2083" s="617" t="s">
        <v>26</v>
      </c>
      <c r="G2083" s="624"/>
      <c r="O2083" s="616"/>
      <c r="P2083" s="616"/>
      <c r="Q2083" s="616"/>
      <c r="AA2083" s="624"/>
      <c r="AB2083" s="663">
        <v>39103417100</v>
      </c>
      <c r="AC2083" s="663" t="s">
        <v>7015</v>
      </c>
      <c r="AD2083" s="663" t="s">
        <v>4941</v>
      </c>
      <c r="AE2083" s="663" t="s">
        <v>4931</v>
      </c>
      <c r="AF2083" s="663" t="s">
        <v>4946</v>
      </c>
    </row>
    <row r="2084" spans="1:32" s="608" customFormat="1" x14ac:dyDescent="0.25">
      <c r="A2084" s="624"/>
      <c r="B2084" s="617">
        <v>39095009101</v>
      </c>
      <c r="C2084" s="617" t="s">
        <v>3752</v>
      </c>
      <c r="D2084" s="617" t="s">
        <v>71</v>
      </c>
      <c r="E2084" s="617" t="s">
        <v>4855</v>
      </c>
      <c r="F2084" s="617" t="s">
        <v>26</v>
      </c>
      <c r="G2084" s="624"/>
      <c r="O2084" s="616"/>
      <c r="P2084" s="616"/>
      <c r="Q2084" s="616"/>
      <c r="AA2084" s="624"/>
      <c r="AB2084" s="663">
        <v>39103417200</v>
      </c>
      <c r="AC2084" s="663" t="s">
        <v>7016</v>
      </c>
      <c r="AD2084" s="663" t="s">
        <v>4948</v>
      </c>
      <c r="AE2084" s="663" t="s">
        <v>4942</v>
      </c>
      <c r="AF2084" s="663" t="s">
        <v>4946</v>
      </c>
    </row>
    <row r="2085" spans="1:32" s="608" customFormat="1" x14ac:dyDescent="0.25">
      <c r="A2085" s="624"/>
      <c r="B2085" s="617">
        <v>39095009103</v>
      </c>
      <c r="C2085" s="617" t="s">
        <v>3753</v>
      </c>
      <c r="D2085" s="617" t="s">
        <v>71</v>
      </c>
      <c r="E2085" s="617" t="s">
        <v>4855</v>
      </c>
      <c r="F2085" s="617" t="s">
        <v>26</v>
      </c>
      <c r="G2085" s="624"/>
      <c r="O2085" s="616"/>
      <c r="P2085" s="616"/>
      <c r="Q2085" s="616"/>
      <c r="AA2085" s="624"/>
      <c r="AB2085" s="663">
        <v>39103417300</v>
      </c>
      <c r="AC2085" s="663" t="s">
        <v>7017</v>
      </c>
      <c r="AD2085" s="663" t="s">
        <v>4948</v>
      </c>
      <c r="AE2085" s="663" t="s">
        <v>4939</v>
      </c>
      <c r="AF2085" s="663" t="s">
        <v>4946</v>
      </c>
    </row>
    <row r="2086" spans="1:32" s="608" customFormat="1" x14ac:dyDescent="0.25">
      <c r="A2086" s="624"/>
      <c r="B2086" s="617">
        <v>39095009104</v>
      </c>
      <c r="C2086" s="617" t="s">
        <v>3754</v>
      </c>
      <c r="D2086" s="617" t="s">
        <v>71</v>
      </c>
      <c r="E2086" s="617" t="s">
        <v>4855</v>
      </c>
      <c r="F2086" s="617" t="s">
        <v>26</v>
      </c>
      <c r="G2086" s="624"/>
      <c r="O2086" s="616"/>
      <c r="P2086" s="616"/>
      <c r="Q2086" s="616"/>
      <c r="AA2086" s="624"/>
      <c r="AB2086" s="663">
        <v>39105964100</v>
      </c>
      <c r="AC2086" s="663" t="s">
        <v>7018</v>
      </c>
      <c r="AD2086" s="663" t="s">
        <v>4927</v>
      </c>
      <c r="AE2086" s="663" t="s">
        <v>4931</v>
      </c>
      <c r="AF2086" s="663" t="s">
        <v>4929</v>
      </c>
    </row>
    <row r="2087" spans="1:32" s="608" customFormat="1" x14ac:dyDescent="0.25">
      <c r="A2087" s="624"/>
      <c r="B2087" s="617">
        <v>39095009203</v>
      </c>
      <c r="C2087" s="617" t="s">
        <v>3755</v>
      </c>
      <c r="D2087" s="617" t="s">
        <v>71</v>
      </c>
      <c r="E2087" s="617" t="s">
        <v>4855</v>
      </c>
      <c r="F2087" s="617" t="s">
        <v>26</v>
      </c>
      <c r="G2087" s="624"/>
      <c r="O2087" s="616"/>
      <c r="P2087" s="616"/>
      <c r="Q2087" s="616"/>
      <c r="AA2087" s="624"/>
      <c r="AB2087" s="663">
        <v>39105964200</v>
      </c>
      <c r="AC2087" s="663" t="s">
        <v>7019</v>
      </c>
      <c r="AD2087" s="663" t="s">
        <v>4927</v>
      </c>
      <c r="AE2087" s="663" t="s">
        <v>4928</v>
      </c>
      <c r="AF2087" s="663" t="s">
        <v>4929</v>
      </c>
    </row>
    <row r="2088" spans="1:32" s="608" customFormat="1" x14ac:dyDescent="0.25">
      <c r="A2088" s="624"/>
      <c r="B2088" s="617">
        <v>39095009204</v>
      </c>
      <c r="C2088" s="617" t="s">
        <v>3756</v>
      </c>
      <c r="D2088" s="617" t="s">
        <v>71</v>
      </c>
      <c r="E2088" s="617" t="s">
        <v>4855</v>
      </c>
      <c r="F2088" s="617" t="s">
        <v>26</v>
      </c>
      <c r="G2088" s="624"/>
      <c r="O2088" s="616"/>
      <c r="P2088" s="616"/>
      <c r="Q2088" s="616"/>
      <c r="AA2088" s="624"/>
      <c r="AB2088" s="663">
        <v>39105964300</v>
      </c>
      <c r="AC2088" s="663" t="s">
        <v>7020</v>
      </c>
      <c r="AD2088" s="663" t="s">
        <v>4927</v>
      </c>
      <c r="AE2088" s="663" t="s">
        <v>4931</v>
      </c>
      <c r="AF2088" s="663" t="s">
        <v>4929</v>
      </c>
    </row>
    <row r="2089" spans="1:32" s="608" customFormat="1" x14ac:dyDescent="0.25">
      <c r="A2089" s="624"/>
      <c r="B2089" s="617">
        <v>39095009205</v>
      </c>
      <c r="C2089" s="617" t="s">
        <v>3757</v>
      </c>
      <c r="D2089" s="617" t="s">
        <v>71</v>
      </c>
      <c r="E2089" s="617" t="s">
        <v>4855</v>
      </c>
      <c r="F2089" s="617" t="s">
        <v>26</v>
      </c>
      <c r="G2089" s="624"/>
      <c r="O2089" s="616"/>
      <c r="P2089" s="616"/>
      <c r="Q2089" s="616"/>
      <c r="AA2089" s="624"/>
      <c r="AB2089" s="663">
        <v>39105964400</v>
      </c>
      <c r="AC2089" s="663" t="s">
        <v>7021</v>
      </c>
      <c r="AD2089" s="663" t="s">
        <v>4927</v>
      </c>
      <c r="AE2089" s="663" t="s">
        <v>4931</v>
      </c>
      <c r="AF2089" s="663" t="s">
        <v>4929</v>
      </c>
    </row>
    <row r="2090" spans="1:32" s="608" customFormat="1" x14ac:dyDescent="0.25">
      <c r="A2090" s="624"/>
      <c r="B2090" s="617">
        <v>39095009206</v>
      </c>
      <c r="C2090" s="617" t="s">
        <v>3758</v>
      </c>
      <c r="D2090" s="617" t="s">
        <v>71</v>
      </c>
      <c r="E2090" s="617" t="s">
        <v>4855</v>
      </c>
      <c r="F2090" s="617" t="s">
        <v>26</v>
      </c>
      <c r="G2090" s="624"/>
      <c r="O2090" s="616"/>
      <c r="P2090" s="616"/>
      <c r="Q2090" s="616"/>
      <c r="AA2090" s="624"/>
      <c r="AB2090" s="663">
        <v>39105964500</v>
      </c>
      <c r="AC2090" s="663" t="s">
        <v>7022</v>
      </c>
      <c r="AD2090" s="663" t="s">
        <v>4927</v>
      </c>
      <c r="AE2090" s="663" t="s">
        <v>4931</v>
      </c>
      <c r="AF2090" s="663" t="s">
        <v>4929</v>
      </c>
    </row>
    <row r="2091" spans="1:32" s="608" customFormat="1" x14ac:dyDescent="0.25">
      <c r="A2091" s="624"/>
      <c r="B2091" s="617">
        <v>39095009300</v>
      </c>
      <c r="C2091" s="617" t="s">
        <v>3759</v>
      </c>
      <c r="D2091" s="617" t="s">
        <v>71</v>
      </c>
      <c r="E2091" s="617" t="s">
        <v>4855</v>
      </c>
      <c r="F2091" s="617" t="s">
        <v>26</v>
      </c>
      <c r="G2091" s="624"/>
      <c r="O2091" s="616"/>
      <c r="P2091" s="616"/>
      <c r="Q2091" s="616"/>
      <c r="AA2091" s="624"/>
      <c r="AB2091" s="663">
        <v>39105964600</v>
      </c>
      <c r="AC2091" s="663" t="s">
        <v>7023</v>
      </c>
      <c r="AD2091" s="663" t="s">
        <v>4927</v>
      </c>
      <c r="AE2091" s="663" t="s">
        <v>4934</v>
      </c>
      <c r="AF2091" s="663" t="s">
        <v>4929</v>
      </c>
    </row>
    <row r="2092" spans="1:32" s="608" customFormat="1" x14ac:dyDescent="0.25">
      <c r="A2092" s="624"/>
      <c r="B2092" s="617">
        <v>39095009400</v>
      </c>
      <c r="C2092" s="617" t="s">
        <v>3760</v>
      </c>
      <c r="D2092" s="617" t="s">
        <v>71</v>
      </c>
      <c r="E2092" s="617" t="s">
        <v>4855</v>
      </c>
      <c r="F2092" s="617" t="s">
        <v>26</v>
      </c>
      <c r="G2092" s="624"/>
      <c r="O2092" s="616"/>
      <c r="P2092" s="616"/>
      <c r="Q2092" s="616"/>
      <c r="AA2092" s="624"/>
      <c r="AB2092" s="663">
        <v>39107967200</v>
      </c>
      <c r="AC2092" s="663" t="s">
        <v>7024</v>
      </c>
      <c r="AD2092" s="663" t="s">
        <v>4948</v>
      </c>
      <c r="AE2092" s="663" t="s">
        <v>4928</v>
      </c>
      <c r="AF2092" s="663" t="s">
        <v>4929</v>
      </c>
    </row>
    <row r="2093" spans="1:32" s="608" customFormat="1" x14ac:dyDescent="0.25">
      <c r="A2093" s="624"/>
      <c r="B2093" s="617">
        <v>39095009500</v>
      </c>
      <c r="C2093" s="617" t="s">
        <v>3761</v>
      </c>
      <c r="D2093" s="617" t="s">
        <v>71</v>
      </c>
      <c r="E2093" s="617" t="s">
        <v>4855</v>
      </c>
      <c r="F2093" s="617" t="s">
        <v>26</v>
      </c>
      <c r="G2093" s="624"/>
      <c r="O2093" s="616"/>
      <c r="P2093" s="616"/>
      <c r="Q2093" s="616"/>
      <c r="AA2093" s="624"/>
      <c r="AB2093" s="663">
        <v>39107967300</v>
      </c>
      <c r="AC2093" s="663" t="s">
        <v>7025</v>
      </c>
      <c r="AD2093" s="663" t="s">
        <v>4941</v>
      </c>
      <c r="AE2093" s="663" t="s">
        <v>4939</v>
      </c>
      <c r="AF2093" s="663" t="s">
        <v>4929</v>
      </c>
    </row>
    <row r="2094" spans="1:32" s="608" customFormat="1" x14ac:dyDescent="0.25">
      <c r="A2094" s="624"/>
      <c r="B2094" s="617">
        <v>39095009600</v>
      </c>
      <c r="C2094" s="617" t="s">
        <v>3762</v>
      </c>
      <c r="D2094" s="617" t="s">
        <v>71</v>
      </c>
      <c r="E2094" s="617" t="s">
        <v>4855</v>
      </c>
      <c r="F2094" s="617" t="s">
        <v>26</v>
      </c>
      <c r="G2094" s="624"/>
      <c r="O2094" s="616"/>
      <c r="P2094" s="616"/>
      <c r="Q2094" s="616"/>
      <c r="AA2094" s="624"/>
      <c r="AB2094" s="663">
        <v>39107967400</v>
      </c>
      <c r="AC2094" s="663" t="s">
        <v>7026</v>
      </c>
      <c r="AD2094" s="663" t="s">
        <v>4948</v>
      </c>
      <c r="AE2094" s="663" t="s">
        <v>4928</v>
      </c>
      <c r="AF2094" s="663" t="s">
        <v>4929</v>
      </c>
    </row>
    <row r="2095" spans="1:32" s="608" customFormat="1" x14ac:dyDescent="0.25">
      <c r="A2095" s="624"/>
      <c r="B2095" s="617">
        <v>39095009700</v>
      </c>
      <c r="C2095" s="617" t="s">
        <v>3763</v>
      </c>
      <c r="D2095" s="617" t="s">
        <v>71</v>
      </c>
      <c r="E2095" s="617" t="s">
        <v>4855</v>
      </c>
      <c r="F2095" s="617" t="s">
        <v>26</v>
      </c>
      <c r="G2095" s="624"/>
      <c r="O2095" s="616"/>
      <c r="P2095" s="616"/>
      <c r="Q2095" s="616"/>
      <c r="AA2095" s="624"/>
      <c r="AB2095" s="663">
        <v>39107967500</v>
      </c>
      <c r="AC2095" s="663" t="s">
        <v>7027</v>
      </c>
      <c r="AD2095" s="663" t="s">
        <v>4941</v>
      </c>
      <c r="AE2095" s="663" t="s">
        <v>4934</v>
      </c>
      <c r="AF2095" s="663" t="s">
        <v>4929</v>
      </c>
    </row>
    <row r="2096" spans="1:32" s="608" customFormat="1" x14ac:dyDescent="0.25">
      <c r="A2096" s="624"/>
      <c r="B2096" s="617">
        <v>39095009800</v>
      </c>
      <c r="C2096" s="617" t="s">
        <v>3764</v>
      </c>
      <c r="D2096" s="617" t="s">
        <v>71</v>
      </c>
      <c r="E2096" s="617" t="s">
        <v>4855</v>
      </c>
      <c r="F2096" s="617" t="s">
        <v>26</v>
      </c>
      <c r="G2096" s="624"/>
      <c r="O2096" s="616"/>
      <c r="P2096" s="616"/>
      <c r="Q2096" s="616"/>
      <c r="AA2096" s="624"/>
      <c r="AB2096" s="663">
        <v>39107967600</v>
      </c>
      <c r="AC2096" s="663" t="s">
        <v>7028</v>
      </c>
      <c r="AD2096" s="663" t="s">
        <v>4948</v>
      </c>
      <c r="AE2096" s="663" t="s">
        <v>4939</v>
      </c>
      <c r="AF2096" s="663" t="s">
        <v>4929</v>
      </c>
    </row>
    <row r="2097" spans="1:32" s="608" customFormat="1" x14ac:dyDescent="0.25">
      <c r="A2097" s="624"/>
      <c r="B2097" s="617">
        <v>39095009901</v>
      </c>
      <c r="C2097" s="617" t="s">
        <v>3765</v>
      </c>
      <c r="D2097" s="617" t="s">
        <v>71</v>
      </c>
      <c r="E2097" s="617" t="s">
        <v>4855</v>
      </c>
      <c r="F2097" s="617" t="s">
        <v>26</v>
      </c>
      <c r="G2097" s="624"/>
      <c r="O2097" s="616"/>
      <c r="P2097" s="616"/>
      <c r="Q2097" s="616"/>
      <c r="AA2097" s="624"/>
      <c r="AB2097" s="663">
        <v>39107967700</v>
      </c>
      <c r="AC2097" s="663" t="s">
        <v>7029</v>
      </c>
      <c r="AD2097" s="663" t="s">
        <v>4938</v>
      </c>
      <c r="AE2097" s="663" t="s">
        <v>4931</v>
      </c>
      <c r="AF2097" s="663" t="s">
        <v>4929</v>
      </c>
    </row>
    <row r="2098" spans="1:32" s="608" customFormat="1" x14ac:dyDescent="0.25">
      <c r="A2098" s="624"/>
      <c r="B2098" s="617">
        <v>39095009902</v>
      </c>
      <c r="C2098" s="617" t="s">
        <v>3766</v>
      </c>
      <c r="D2098" s="617" t="s">
        <v>71</v>
      </c>
      <c r="E2098" s="617" t="s">
        <v>4855</v>
      </c>
      <c r="F2098" s="617" t="s">
        <v>26</v>
      </c>
      <c r="G2098" s="624"/>
      <c r="O2098" s="616"/>
      <c r="P2098" s="616"/>
      <c r="Q2098" s="616"/>
      <c r="AA2098" s="624"/>
      <c r="AB2098" s="663">
        <v>39107967800</v>
      </c>
      <c r="AC2098" s="663" t="s">
        <v>7030</v>
      </c>
      <c r="AD2098" s="663" t="s">
        <v>4948</v>
      </c>
      <c r="AE2098" s="663" t="s">
        <v>4931</v>
      </c>
      <c r="AF2098" s="663" t="s">
        <v>4929</v>
      </c>
    </row>
    <row r="2099" spans="1:32" s="608" customFormat="1" x14ac:dyDescent="0.25">
      <c r="A2099" s="624"/>
      <c r="B2099" s="617">
        <v>39095010001</v>
      </c>
      <c r="C2099" s="617" t="s">
        <v>3767</v>
      </c>
      <c r="D2099" s="617" t="s">
        <v>71</v>
      </c>
      <c r="E2099" s="617" t="s">
        <v>4855</v>
      </c>
      <c r="F2099" s="617" t="s">
        <v>26</v>
      </c>
      <c r="G2099" s="624"/>
      <c r="O2099" s="616"/>
      <c r="P2099" s="616"/>
      <c r="Q2099" s="616"/>
      <c r="AA2099" s="624"/>
      <c r="AB2099" s="663">
        <v>39107967900</v>
      </c>
      <c r="AC2099" s="663" t="s">
        <v>7031</v>
      </c>
      <c r="AD2099" s="663" t="s">
        <v>4938</v>
      </c>
      <c r="AE2099" s="663" t="s">
        <v>4931</v>
      </c>
      <c r="AF2099" s="663" t="s">
        <v>4929</v>
      </c>
    </row>
    <row r="2100" spans="1:32" s="608" customFormat="1" x14ac:dyDescent="0.25">
      <c r="A2100" s="624"/>
      <c r="B2100" s="617">
        <v>39095010002</v>
      </c>
      <c r="C2100" s="617" t="s">
        <v>3768</v>
      </c>
      <c r="D2100" s="617" t="s">
        <v>71</v>
      </c>
      <c r="E2100" s="617" t="s">
        <v>4855</v>
      </c>
      <c r="F2100" s="617" t="s">
        <v>26</v>
      </c>
      <c r="G2100" s="624"/>
      <c r="O2100" s="616"/>
      <c r="P2100" s="616"/>
      <c r="Q2100" s="616"/>
      <c r="AA2100" s="624"/>
      <c r="AB2100" s="663">
        <v>39107968000</v>
      </c>
      <c r="AC2100" s="663" t="s">
        <v>7032</v>
      </c>
      <c r="AD2100" s="663" t="s">
        <v>4938</v>
      </c>
      <c r="AE2100" s="663" t="s">
        <v>4934</v>
      </c>
      <c r="AF2100" s="663" t="s">
        <v>4929</v>
      </c>
    </row>
    <row r="2101" spans="1:32" s="608" customFormat="1" x14ac:dyDescent="0.25">
      <c r="A2101" s="624"/>
      <c r="B2101" s="617">
        <v>39095010100</v>
      </c>
      <c r="C2101" s="617" t="s">
        <v>3769</v>
      </c>
      <c r="D2101" s="617" t="s">
        <v>71</v>
      </c>
      <c r="E2101" s="617" t="s">
        <v>4855</v>
      </c>
      <c r="F2101" s="617" t="s">
        <v>26</v>
      </c>
      <c r="G2101" s="624"/>
      <c r="O2101" s="616"/>
      <c r="P2101" s="616"/>
      <c r="Q2101" s="616"/>
      <c r="AA2101" s="624"/>
      <c r="AB2101" s="663">
        <v>39109300100</v>
      </c>
      <c r="AC2101" s="663" t="s">
        <v>7033</v>
      </c>
      <c r="AD2101" s="663" t="s">
        <v>4950</v>
      </c>
      <c r="AE2101" s="663" t="s">
        <v>4931</v>
      </c>
      <c r="AF2101" s="663" t="s">
        <v>4929</v>
      </c>
    </row>
    <row r="2102" spans="1:32" s="608" customFormat="1" x14ac:dyDescent="0.25">
      <c r="A2102" s="624"/>
      <c r="B2102" s="617">
        <v>39095010200</v>
      </c>
      <c r="C2102" s="617" t="s">
        <v>3770</v>
      </c>
      <c r="D2102" s="617" t="s">
        <v>71</v>
      </c>
      <c r="E2102" s="617" t="s">
        <v>4855</v>
      </c>
      <c r="F2102" s="617" t="s">
        <v>24</v>
      </c>
      <c r="G2102" s="624"/>
      <c r="O2102" s="616"/>
      <c r="P2102" s="616"/>
      <c r="Q2102" s="616"/>
      <c r="AA2102" s="624"/>
      <c r="AB2102" s="663">
        <v>39109315001</v>
      </c>
      <c r="AC2102" s="663" t="s">
        <v>7034</v>
      </c>
      <c r="AD2102" s="663" t="s">
        <v>4938</v>
      </c>
      <c r="AE2102" s="663" t="s">
        <v>4939</v>
      </c>
      <c r="AF2102" s="663" t="s">
        <v>4929</v>
      </c>
    </row>
    <row r="2103" spans="1:32" s="608" customFormat="1" x14ac:dyDescent="0.25">
      <c r="A2103" s="624"/>
      <c r="B2103" s="617">
        <v>39095010300</v>
      </c>
      <c r="C2103" s="617" t="s">
        <v>3771</v>
      </c>
      <c r="D2103" s="617" t="s">
        <v>71</v>
      </c>
      <c r="E2103" s="617" t="s">
        <v>4855</v>
      </c>
      <c r="F2103" s="617" t="s">
        <v>24</v>
      </c>
      <c r="G2103" s="624"/>
      <c r="O2103" s="616"/>
      <c r="P2103" s="616"/>
      <c r="Q2103" s="616"/>
      <c r="AA2103" s="624"/>
      <c r="AB2103" s="663">
        <v>39109315002</v>
      </c>
      <c r="AC2103" s="663" t="s">
        <v>7035</v>
      </c>
      <c r="AD2103" s="663" t="s">
        <v>4950</v>
      </c>
      <c r="AE2103" s="663" t="s">
        <v>4942</v>
      </c>
      <c r="AF2103" s="663" t="s">
        <v>4929</v>
      </c>
    </row>
    <row r="2104" spans="1:32" s="608" customFormat="1" x14ac:dyDescent="0.25">
      <c r="A2104" s="624"/>
      <c r="B2104" s="617">
        <v>39095010400</v>
      </c>
      <c r="C2104" s="617" t="s">
        <v>3772</v>
      </c>
      <c r="D2104" s="617" t="s">
        <v>71</v>
      </c>
      <c r="E2104" s="617" t="s">
        <v>4855</v>
      </c>
      <c r="F2104" s="617" t="s">
        <v>26</v>
      </c>
      <c r="G2104" s="624"/>
      <c r="O2104" s="616"/>
      <c r="P2104" s="616"/>
      <c r="Q2104" s="616"/>
      <c r="AA2104" s="624"/>
      <c r="AB2104" s="663">
        <v>39109315100</v>
      </c>
      <c r="AC2104" s="663" t="s">
        <v>7036</v>
      </c>
      <c r="AD2104" s="663" t="s">
        <v>4927</v>
      </c>
      <c r="AE2104" s="663" t="s">
        <v>4939</v>
      </c>
      <c r="AF2104" s="663" t="s">
        <v>4983</v>
      </c>
    </row>
    <row r="2105" spans="1:32" s="608" customFormat="1" x14ac:dyDescent="0.25">
      <c r="A2105" s="624"/>
      <c r="B2105" s="617">
        <v>39095010500</v>
      </c>
      <c r="C2105" s="617" t="s">
        <v>3773</v>
      </c>
      <c r="D2105" s="617" t="s">
        <v>71</v>
      </c>
      <c r="E2105" s="617" t="s">
        <v>4855</v>
      </c>
      <c r="F2105" s="617" t="s">
        <v>24</v>
      </c>
      <c r="G2105" s="624"/>
      <c r="O2105" s="616"/>
      <c r="P2105" s="616"/>
      <c r="Q2105" s="616"/>
      <c r="AA2105" s="624"/>
      <c r="AB2105" s="663">
        <v>39109315300</v>
      </c>
      <c r="AC2105" s="663" t="s">
        <v>7037</v>
      </c>
      <c r="AD2105" s="663" t="s">
        <v>4927</v>
      </c>
      <c r="AE2105" s="663" t="s">
        <v>4928</v>
      </c>
      <c r="AF2105" s="663" t="s">
        <v>4983</v>
      </c>
    </row>
    <row r="2106" spans="1:32" s="608" customFormat="1" x14ac:dyDescent="0.25">
      <c r="A2106" s="624"/>
      <c r="B2106" s="617">
        <v>39095010600</v>
      </c>
      <c r="C2106" s="617" t="s">
        <v>3774</v>
      </c>
      <c r="D2106" s="617" t="s">
        <v>71</v>
      </c>
      <c r="E2106" s="617" t="s">
        <v>4855</v>
      </c>
      <c r="F2106" s="617" t="s">
        <v>24</v>
      </c>
      <c r="G2106" s="624"/>
      <c r="O2106" s="616"/>
      <c r="P2106" s="616"/>
      <c r="Q2106" s="616"/>
      <c r="AA2106" s="624"/>
      <c r="AB2106" s="663">
        <v>39109320100</v>
      </c>
      <c r="AC2106" s="663" t="s">
        <v>7038</v>
      </c>
      <c r="AD2106" s="663" t="s">
        <v>4950</v>
      </c>
      <c r="AE2106" s="663" t="s">
        <v>4942</v>
      </c>
      <c r="AF2106" s="663" t="s">
        <v>4929</v>
      </c>
    </row>
    <row r="2107" spans="1:32" s="608" customFormat="1" x14ac:dyDescent="0.25">
      <c r="A2107" s="624"/>
      <c r="B2107" s="617">
        <v>39095990000</v>
      </c>
      <c r="C2107" s="617" t="s">
        <v>3775</v>
      </c>
      <c r="D2107" s="617" t="s">
        <v>71</v>
      </c>
      <c r="E2107" s="617" t="s">
        <v>4855</v>
      </c>
      <c r="F2107" s="617" t="s">
        <v>26</v>
      </c>
      <c r="G2107" s="624"/>
      <c r="O2107" s="616"/>
      <c r="P2107" s="616"/>
      <c r="Q2107" s="616"/>
      <c r="AA2107" s="624"/>
      <c r="AB2107" s="663">
        <v>39109325000</v>
      </c>
      <c r="AC2107" s="663" t="s">
        <v>7039</v>
      </c>
      <c r="AD2107" s="663" t="s">
        <v>4948</v>
      </c>
      <c r="AE2107" s="663" t="s">
        <v>4939</v>
      </c>
      <c r="AF2107" s="663" t="s">
        <v>4929</v>
      </c>
    </row>
    <row r="2108" spans="1:32" s="608" customFormat="1" x14ac:dyDescent="0.25">
      <c r="A2108" s="624"/>
      <c r="B2108" s="617">
        <v>39097040101</v>
      </c>
      <c r="C2108" s="617" t="s">
        <v>3776</v>
      </c>
      <c r="D2108" s="617" t="s">
        <v>72</v>
      </c>
      <c r="E2108" s="617" t="s">
        <v>4854</v>
      </c>
      <c r="F2108" s="617" t="s">
        <v>26</v>
      </c>
      <c r="G2108" s="624"/>
      <c r="O2108" s="616"/>
      <c r="P2108" s="616"/>
      <c r="Q2108" s="616"/>
      <c r="AA2108" s="624"/>
      <c r="AB2108" s="663">
        <v>39109330100</v>
      </c>
      <c r="AC2108" s="663" t="s">
        <v>7040</v>
      </c>
      <c r="AD2108" s="663" t="s">
        <v>4948</v>
      </c>
      <c r="AE2108" s="663" t="s">
        <v>4934</v>
      </c>
      <c r="AF2108" s="663" t="s">
        <v>4929</v>
      </c>
    </row>
    <row r="2109" spans="1:32" s="608" customFormat="1" x14ac:dyDescent="0.25">
      <c r="A2109" s="624"/>
      <c r="B2109" s="617">
        <v>39097040102</v>
      </c>
      <c r="C2109" s="617" t="s">
        <v>3777</v>
      </c>
      <c r="D2109" s="617" t="s">
        <v>72</v>
      </c>
      <c r="E2109" s="617" t="s">
        <v>4854</v>
      </c>
      <c r="F2109" s="617" t="s">
        <v>26</v>
      </c>
      <c r="G2109" s="624"/>
      <c r="O2109" s="616"/>
      <c r="P2109" s="616"/>
      <c r="Q2109" s="616"/>
      <c r="AA2109" s="624"/>
      <c r="AB2109" s="663">
        <v>39109340100</v>
      </c>
      <c r="AC2109" s="663" t="s">
        <v>7041</v>
      </c>
      <c r="AD2109" s="663" t="s">
        <v>4948</v>
      </c>
      <c r="AE2109" s="663" t="s">
        <v>4931</v>
      </c>
      <c r="AF2109" s="663" t="s">
        <v>4929</v>
      </c>
    </row>
    <row r="2110" spans="1:32" s="608" customFormat="1" x14ac:dyDescent="0.25">
      <c r="A2110" s="624"/>
      <c r="B2110" s="617">
        <v>39097040201</v>
      </c>
      <c r="C2110" s="617" t="s">
        <v>3778</v>
      </c>
      <c r="D2110" s="617" t="s">
        <v>72</v>
      </c>
      <c r="E2110" s="617" t="s">
        <v>4854</v>
      </c>
      <c r="F2110" s="617" t="s">
        <v>26</v>
      </c>
      <c r="G2110" s="624"/>
      <c r="O2110" s="616"/>
      <c r="P2110" s="616"/>
      <c r="Q2110" s="616"/>
      <c r="AA2110" s="624"/>
      <c r="AB2110" s="663">
        <v>39109345000</v>
      </c>
      <c r="AC2110" s="663" t="s">
        <v>7042</v>
      </c>
      <c r="AD2110" s="663" t="s">
        <v>4950</v>
      </c>
      <c r="AE2110" s="663" t="s">
        <v>4928</v>
      </c>
      <c r="AF2110" s="663" t="s">
        <v>4946</v>
      </c>
    </row>
    <row r="2111" spans="1:32" s="608" customFormat="1" x14ac:dyDescent="0.25">
      <c r="A2111" s="624"/>
      <c r="B2111" s="617">
        <v>39097040202</v>
      </c>
      <c r="C2111" s="617" t="s">
        <v>3779</v>
      </c>
      <c r="D2111" s="617" t="s">
        <v>72</v>
      </c>
      <c r="E2111" s="617" t="s">
        <v>4854</v>
      </c>
      <c r="F2111" s="617" t="s">
        <v>26</v>
      </c>
      <c r="G2111" s="624"/>
      <c r="O2111" s="616"/>
      <c r="P2111" s="616"/>
      <c r="Q2111" s="616"/>
      <c r="AA2111" s="624"/>
      <c r="AB2111" s="663">
        <v>39109350100</v>
      </c>
      <c r="AC2111" s="663" t="s">
        <v>7043</v>
      </c>
      <c r="AD2111" s="663" t="s">
        <v>4938</v>
      </c>
      <c r="AE2111" s="663" t="s">
        <v>4931</v>
      </c>
      <c r="AF2111" s="663" t="s">
        <v>4929</v>
      </c>
    </row>
    <row r="2112" spans="1:32" s="608" customFormat="1" x14ac:dyDescent="0.25">
      <c r="A2112" s="624"/>
      <c r="B2112" s="617">
        <v>39097040400</v>
      </c>
      <c r="C2112" s="617" t="s">
        <v>3780</v>
      </c>
      <c r="D2112" s="617" t="s">
        <v>72</v>
      </c>
      <c r="E2112" s="617" t="s">
        <v>4854</v>
      </c>
      <c r="F2112" s="617" t="s">
        <v>26</v>
      </c>
      <c r="G2112" s="624"/>
      <c r="O2112" s="616"/>
      <c r="P2112" s="616"/>
      <c r="Q2112" s="616"/>
      <c r="AA2112" s="624"/>
      <c r="AB2112" s="663">
        <v>39109355001</v>
      </c>
      <c r="AC2112" s="663" t="s">
        <v>7044</v>
      </c>
      <c r="AD2112" s="663" t="s">
        <v>4941</v>
      </c>
      <c r="AE2112" s="663" t="s">
        <v>4939</v>
      </c>
      <c r="AF2112" s="663" t="s">
        <v>4946</v>
      </c>
    </row>
    <row r="2113" spans="1:32" s="608" customFormat="1" x14ac:dyDescent="0.25">
      <c r="A2113" s="624"/>
      <c r="B2113" s="617">
        <v>39097040500</v>
      </c>
      <c r="C2113" s="617" t="s">
        <v>3781</v>
      </c>
      <c r="D2113" s="617" t="s">
        <v>72</v>
      </c>
      <c r="E2113" s="617" t="s">
        <v>4854</v>
      </c>
      <c r="F2113" s="617" t="s">
        <v>26</v>
      </c>
      <c r="G2113" s="624"/>
      <c r="O2113" s="616"/>
      <c r="P2113" s="616"/>
      <c r="Q2113" s="616"/>
      <c r="AA2113" s="624"/>
      <c r="AB2113" s="663">
        <v>39109355002</v>
      </c>
      <c r="AC2113" s="663" t="s">
        <v>7045</v>
      </c>
      <c r="AD2113" s="663" t="s">
        <v>4948</v>
      </c>
      <c r="AE2113" s="663" t="s">
        <v>4931</v>
      </c>
      <c r="AF2113" s="663" t="s">
        <v>4946</v>
      </c>
    </row>
    <row r="2114" spans="1:32" s="608" customFormat="1" x14ac:dyDescent="0.25">
      <c r="A2114" s="624"/>
      <c r="B2114" s="617">
        <v>39097040600</v>
      </c>
      <c r="C2114" s="617" t="s">
        <v>3782</v>
      </c>
      <c r="D2114" s="617" t="s">
        <v>72</v>
      </c>
      <c r="E2114" s="617" t="s">
        <v>4854</v>
      </c>
      <c r="F2114" s="617" t="s">
        <v>26</v>
      </c>
      <c r="G2114" s="624"/>
      <c r="O2114" s="616"/>
      <c r="P2114" s="616"/>
      <c r="Q2114" s="616"/>
      <c r="AA2114" s="624"/>
      <c r="AB2114" s="663">
        <v>39109365000</v>
      </c>
      <c r="AC2114" s="663" t="s">
        <v>7046</v>
      </c>
      <c r="AD2114" s="663" t="s">
        <v>4948</v>
      </c>
      <c r="AE2114" s="663" t="s">
        <v>4928</v>
      </c>
      <c r="AF2114" s="663" t="s">
        <v>4946</v>
      </c>
    </row>
    <row r="2115" spans="1:32" s="608" customFormat="1" x14ac:dyDescent="0.25">
      <c r="A2115" s="624"/>
      <c r="B2115" s="617">
        <v>39097040700</v>
      </c>
      <c r="C2115" s="617" t="s">
        <v>3783</v>
      </c>
      <c r="D2115" s="617" t="s">
        <v>72</v>
      </c>
      <c r="E2115" s="617" t="s">
        <v>4854</v>
      </c>
      <c r="F2115" s="617" t="s">
        <v>26</v>
      </c>
      <c r="G2115" s="624"/>
      <c r="O2115" s="616"/>
      <c r="P2115" s="616"/>
      <c r="Q2115" s="616"/>
      <c r="AA2115" s="624"/>
      <c r="AB2115" s="663">
        <v>39109365101</v>
      </c>
      <c r="AC2115" s="663" t="s">
        <v>7047</v>
      </c>
      <c r="AD2115" s="663" t="s">
        <v>4938</v>
      </c>
      <c r="AE2115" s="663" t="s">
        <v>4931</v>
      </c>
      <c r="AF2115" s="663" t="s">
        <v>4929</v>
      </c>
    </row>
    <row r="2116" spans="1:32" s="608" customFormat="1" x14ac:dyDescent="0.25">
      <c r="A2116" s="624"/>
      <c r="B2116" s="617">
        <v>39097041000</v>
      </c>
      <c r="C2116" s="617" t="s">
        <v>3784</v>
      </c>
      <c r="D2116" s="617" t="s">
        <v>72</v>
      </c>
      <c r="E2116" s="617" t="s">
        <v>4854</v>
      </c>
      <c r="F2116" s="617" t="s">
        <v>26</v>
      </c>
      <c r="G2116" s="624"/>
      <c r="O2116" s="616"/>
      <c r="P2116" s="616"/>
      <c r="Q2116" s="616"/>
      <c r="AA2116" s="624"/>
      <c r="AB2116" s="663">
        <v>39109365102</v>
      </c>
      <c r="AC2116" s="663" t="s">
        <v>7048</v>
      </c>
      <c r="AD2116" s="663" t="s">
        <v>4948</v>
      </c>
      <c r="AE2116" s="663" t="s">
        <v>4931</v>
      </c>
      <c r="AF2116" s="663" t="s">
        <v>4929</v>
      </c>
    </row>
    <row r="2117" spans="1:32" s="608" customFormat="1" x14ac:dyDescent="0.25">
      <c r="A2117" s="624"/>
      <c r="B2117" s="617">
        <v>39097041100</v>
      </c>
      <c r="C2117" s="617" t="s">
        <v>3785</v>
      </c>
      <c r="D2117" s="617" t="s">
        <v>72</v>
      </c>
      <c r="E2117" s="617" t="s">
        <v>4854</v>
      </c>
      <c r="F2117" s="617" t="s">
        <v>26</v>
      </c>
      <c r="G2117" s="624"/>
      <c r="O2117" s="616"/>
      <c r="P2117" s="616"/>
      <c r="Q2117" s="616"/>
      <c r="AA2117" s="624"/>
      <c r="AB2117" s="663">
        <v>39109365200</v>
      </c>
      <c r="AC2117" s="663" t="s">
        <v>7049</v>
      </c>
      <c r="AD2117" s="663" t="s">
        <v>4927</v>
      </c>
      <c r="AE2117" s="663" t="s">
        <v>4934</v>
      </c>
      <c r="AF2117" s="663" t="s">
        <v>4946</v>
      </c>
    </row>
    <row r="2118" spans="1:32" s="608" customFormat="1" x14ac:dyDescent="0.25">
      <c r="A2118" s="624"/>
      <c r="B2118" s="617">
        <v>39097041200</v>
      </c>
      <c r="C2118" s="617" t="s">
        <v>3786</v>
      </c>
      <c r="D2118" s="617" t="s">
        <v>72</v>
      </c>
      <c r="E2118" s="617" t="s">
        <v>4854</v>
      </c>
      <c r="F2118" s="617" t="s">
        <v>26</v>
      </c>
      <c r="G2118" s="624"/>
      <c r="O2118" s="616"/>
      <c r="P2118" s="616"/>
      <c r="Q2118" s="616"/>
      <c r="AA2118" s="624"/>
      <c r="AB2118" s="663">
        <v>39109365301</v>
      </c>
      <c r="AC2118" s="663" t="s">
        <v>7050</v>
      </c>
      <c r="AD2118" s="663" t="s">
        <v>4948</v>
      </c>
      <c r="AE2118" s="663" t="s">
        <v>4942</v>
      </c>
      <c r="AF2118" s="663" t="s">
        <v>4929</v>
      </c>
    </row>
    <row r="2119" spans="1:32" s="608" customFormat="1" x14ac:dyDescent="0.25">
      <c r="A2119" s="624"/>
      <c r="B2119" s="617">
        <v>39097041300</v>
      </c>
      <c r="C2119" s="617" t="s">
        <v>3787</v>
      </c>
      <c r="D2119" s="617" t="s">
        <v>72</v>
      </c>
      <c r="E2119" s="617" t="s">
        <v>4854</v>
      </c>
      <c r="F2119" s="617" t="s">
        <v>26</v>
      </c>
      <c r="G2119" s="624"/>
      <c r="O2119" s="616"/>
      <c r="P2119" s="616"/>
      <c r="Q2119" s="616"/>
      <c r="AA2119" s="624"/>
      <c r="AB2119" s="663">
        <v>39109365302</v>
      </c>
      <c r="AC2119" s="663" t="s">
        <v>7051</v>
      </c>
      <c r="AD2119" s="663" t="s">
        <v>4941</v>
      </c>
      <c r="AE2119" s="663" t="s">
        <v>4931</v>
      </c>
      <c r="AF2119" s="663" t="s">
        <v>4946</v>
      </c>
    </row>
    <row r="2120" spans="1:32" s="608" customFormat="1" x14ac:dyDescent="0.25">
      <c r="A2120" s="624"/>
      <c r="B2120" s="617">
        <v>39099800501</v>
      </c>
      <c r="C2120" s="617" t="s">
        <v>3788</v>
      </c>
      <c r="D2120" s="617" t="s">
        <v>73</v>
      </c>
      <c r="E2120" s="617" t="s">
        <v>4859</v>
      </c>
      <c r="F2120" s="617" t="s">
        <v>24</v>
      </c>
      <c r="G2120" s="624"/>
      <c r="O2120" s="616"/>
      <c r="P2120" s="616"/>
      <c r="Q2120" s="616"/>
      <c r="AA2120" s="624"/>
      <c r="AB2120" s="663">
        <v>39109380100</v>
      </c>
      <c r="AC2120" s="663" t="s">
        <v>7052</v>
      </c>
      <c r="AD2120" s="663" t="s">
        <v>4938</v>
      </c>
      <c r="AE2120" s="663" t="s">
        <v>4942</v>
      </c>
      <c r="AF2120" s="663" t="s">
        <v>4929</v>
      </c>
    </row>
    <row r="2121" spans="1:32" s="608" customFormat="1" x14ac:dyDescent="0.25">
      <c r="A2121" s="624"/>
      <c r="B2121" s="617">
        <v>39099800502</v>
      </c>
      <c r="C2121" s="617" t="s">
        <v>3789</v>
      </c>
      <c r="D2121" s="617" t="s">
        <v>73</v>
      </c>
      <c r="E2121" s="617" t="s">
        <v>4859</v>
      </c>
      <c r="F2121" s="617" t="s">
        <v>26</v>
      </c>
      <c r="G2121" s="624"/>
      <c r="O2121" s="616"/>
      <c r="P2121" s="616"/>
      <c r="Q2121" s="616"/>
      <c r="AA2121" s="624"/>
      <c r="AB2121" s="663">
        <v>39109390100</v>
      </c>
      <c r="AC2121" s="663" t="s">
        <v>7053</v>
      </c>
      <c r="AD2121" s="663" t="s">
        <v>4938</v>
      </c>
      <c r="AE2121" s="663" t="s">
        <v>4942</v>
      </c>
      <c r="AF2121" s="663" t="s">
        <v>4929</v>
      </c>
    </row>
    <row r="2122" spans="1:32" s="608" customFormat="1" x14ac:dyDescent="0.25">
      <c r="A2122" s="624"/>
      <c r="B2122" s="617">
        <v>39099800600</v>
      </c>
      <c r="C2122" s="617" t="s">
        <v>3790</v>
      </c>
      <c r="D2122" s="617" t="s">
        <v>73</v>
      </c>
      <c r="E2122" s="617" t="s">
        <v>4859</v>
      </c>
      <c r="F2122" s="617" t="s">
        <v>24</v>
      </c>
      <c r="G2122" s="624"/>
      <c r="O2122" s="616"/>
      <c r="P2122" s="616"/>
      <c r="Q2122" s="616"/>
      <c r="AA2122" s="624"/>
      <c r="AB2122" s="663">
        <v>39111966600</v>
      </c>
      <c r="AC2122" s="663" t="s">
        <v>7054</v>
      </c>
      <c r="AD2122" s="663" t="s">
        <v>4927</v>
      </c>
      <c r="AE2122" s="663" t="s">
        <v>4931</v>
      </c>
      <c r="AF2122" s="663" t="s">
        <v>4929</v>
      </c>
    </row>
    <row r="2123" spans="1:32" s="608" customFormat="1" x14ac:dyDescent="0.25">
      <c r="A2123" s="624"/>
      <c r="B2123" s="617">
        <v>39099801000</v>
      </c>
      <c r="C2123" s="617" t="s">
        <v>3791</v>
      </c>
      <c r="D2123" s="617" t="s">
        <v>73</v>
      </c>
      <c r="E2123" s="617" t="s">
        <v>4859</v>
      </c>
      <c r="F2123" s="617" t="s">
        <v>24</v>
      </c>
      <c r="G2123" s="624"/>
      <c r="O2123" s="616"/>
      <c r="P2123" s="616"/>
      <c r="Q2123" s="616"/>
      <c r="AA2123" s="624"/>
      <c r="AB2123" s="663">
        <v>39111966700</v>
      </c>
      <c r="AC2123" s="663" t="s">
        <v>7055</v>
      </c>
      <c r="AD2123" s="663" t="s">
        <v>4927</v>
      </c>
      <c r="AE2123" s="663" t="s">
        <v>4934</v>
      </c>
      <c r="AF2123" s="663" t="s">
        <v>4929</v>
      </c>
    </row>
    <row r="2124" spans="1:32" s="608" customFormat="1" x14ac:dyDescent="0.25">
      <c r="A2124" s="624"/>
      <c r="B2124" s="617">
        <v>39099801100</v>
      </c>
      <c r="C2124" s="617" t="s">
        <v>3792</v>
      </c>
      <c r="D2124" s="617" t="s">
        <v>73</v>
      </c>
      <c r="E2124" s="617" t="s">
        <v>4859</v>
      </c>
      <c r="F2124" s="617" t="s">
        <v>24</v>
      </c>
      <c r="G2124" s="624"/>
      <c r="O2124" s="616"/>
      <c r="P2124" s="616"/>
      <c r="Q2124" s="616"/>
      <c r="AA2124" s="624"/>
      <c r="AB2124" s="663">
        <v>39111966800</v>
      </c>
      <c r="AC2124" s="663" t="s">
        <v>7056</v>
      </c>
      <c r="AD2124" s="663" t="s">
        <v>4927</v>
      </c>
      <c r="AE2124" s="663" t="s">
        <v>4928</v>
      </c>
      <c r="AF2124" s="663" t="s">
        <v>4929</v>
      </c>
    </row>
    <row r="2125" spans="1:32" s="608" customFormat="1" x14ac:dyDescent="0.25">
      <c r="A2125" s="624"/>
      <c r="B2125" s="617">
        <v>39099801200</v>
      </c>
      <c r="C2125" s="617" t="s">
        <v>3793</v>
      </c>
      <c r="D2125" s="617" t="s">
        <v>73</v>
      </c>
      <c r="E2125" s="617" t="s">
        <v>4859</v>
      </c>
      <c r="F2125" s="617" t="s">
        <v>24</v>
      </c>
      <c r="G2125" s="624"/>
      <c r="O2125" s="616"/>
      <c r="P2125" s="616"/>
      <c r="Q2125" s="616"/>
      <c r="AA2125" s="624"/>
      <c r="AB2125" s="663">
        <v>39111966900</v>
      </c>
      <c r="AC2125" s="663" t="s">
        <v>7057</v>
      </c>
      <c r="AD2125" s="663" t="s">
        <v>4927</v>
      </c>
      <c r="AE2125" s="663" t="s">
        <v>4931</v>
      </c>
      <c r="AF2125" s="663" t="s">
        <v>4929</v>
      </c>
    </row>
    <row r="2126" spans="1:32" s="608" customFormat="1" x14ac:dyDescent="0.25">
      <c r="A2126" s="624"/>
      <c r="B2126" s="617">
        <v>39099801300</v>
      </c>
      <c r="C2126" s="617" t="s">
        <v>3794</v>
      </c>
      <c r="D2126" s="617" t="s">
        <v>73</v>
      </c>
      <c r="E2126" s="617" t="s">
        <v>4859</v>
      </c>
      <c r="F2126" s="617" t="s">
        <v>24</v>
      </c>
      <c r="G2126" s="624"/>
      <c r="O2126" s="616"/>
      <c r="P2126" s="616"/>
      <c r="Q2126" s="616"/>
      <c r="AA2126" s="624"/>
      <c r="AB2126" s="663">
        <v>39113000100</v>
      </c>
      <c r="AC2126" s="663" t="s">
        <v>7058</v>
      </c>
      <c r="AD2126" s="663" t="s">
        <v>4927</v>
      </c>
      <c r="AE2126" s="663" t="s">
        <v>4931</v>
      </c>
      <c r="AF2126" s="663" t="s">
        <v>4946</v>
      </c>
    </row>
    <row r="2127" spans="1:32" s="608" customFormat="1" x14ac:dyDescent="0.25">
      <c r="A2127" s="624"/>
      <c r="B2127" s="617">
        <v>39099801400</v>
      </c>
      <c r="C2127" s="617" t="s">
        <v>3795</v>
      </c>
      <c r="D2127" s="617" t="s">
        <v>73</v>
      </c>
      <c r="E2127" s="617" t="s">
        <v>4859</v>
      </c>
      <c r="F2127" s="617" t="s">
        <v>26</v>
      </c>
      <c r="G2127" s="624"/>
      <c r="O2127" s="616"/>
      <c r="P2127" s="616"/>
      <c r="Q2127" s="616"/>
      <c r="AA2127" s="624"/>
      <c r="AB2127" s="663">
        <v>39113000200</v>
      </c>
      <c r="AC2127" s="663" t="s">
        <v>7059</v>
      </c>
      <c r="AD2127" s="663" t="s">
        <v>4927</v>
      </c>
      <c r="AE2127" s="663" t="s">
        <v>4928</v>
      </c>
      <c r="AF2127" s="663" t="s">
        <v>4946</v>
      </c>
    </row>
    <row r="2128" spans="1:32" s="608" customFormat="1" x14ac:dyDescent="0.25">
      <c r="A2128" s="624"/>
      <c r="B2128" s="617">
        <v>39099801500</v>
      </c>
      <c r="C2128" s="617" t="s">
        <v>3796</v>
      </c>
      <c r="D2128" s="617" t="s">
        <v>73</v>
      </c>
      <c r="E2128" s="617" t="s">
        <v>4859</v>
      </c>
      <c r="F2128" s="617" t="s">
        <v>26</v>
      </c>
      <c r="G2128" s="624"/>
      <c r="O2128" s="616"/>
      <c r="P2128" s="616"/>
      <c r="Q2128" s="616"/>
      <c r="AA2128" s="624"/>
      <c r="AB2128" s="663">
        <v>39113000300</v>
      </c>
      <c r="AC2128" s="663" t="s">
        <v>7060</v>
      </c>
      <c r="AD2128" s="663" t="s">
        <v>4927</v>
      </c>
      <c r="AE2128" s="663" t="s">
        <v>4928</v>
      </c>
      <c r="AF2128" s="663" t="s">
        <v>4946</v>
      </c>
    </row>
    <row r="2129" spans="1:32" s="608" customFormat="1" x14ac:dyDescent="0.25">
      <c r="A2129" s="624"/>
      <c r="B2129" s="617">
        <v>39099801600</v>
      </c>
      <c r="C2129" s="617" t="s">
        <v>3797</v>
      </c>
      <c r="D2129" s="617" t="s">
        <v>73</v>
      </c>
      <c r="E2129" s="617" t="s">
        <v>4859</v>
      </c>
      <c r="F2129" s="617" t="s">
        <v>24</v>
      </c>
      <c r="G2129" s="624"/>
      <c r="O2129" s="616"/>
      <c r="P2129" s="616"/>
      <c r="Q2129" s="616"/>
      <c r="AA2129" s="624"/>
      <c r="AB2129" s="663">
        <v>39113000400</v>
      </c>
      <c r="AC2129" s="663" t="s">
        <v>7061</v>
      </c>
      <c r="AD2129" s="663" t="s">
        <v>4950</v>
      </c>
      <c r="AE2129" s="663" t="s">
        <v>4934</v>
      </c>
      <c r="AF2129" s="663" t="s">
        <v>4962</v>
      </c>
    </row>
    <row r="2130" spans="1:32" s="608" customFormat="1" x14ac:dyDescent="0.25">
      <c r="A2130" s="624"/>
      <c r="B2130" s="617">
        <v>39099801700</v>
      </c>
      <c r="C2130" s="617" t="s">
        <v>3798</v>
      </c>
      <c r="D2130" s="617" t="s">
        <v>73</v>
      </c>
      <c r="E2130" s="617" t="s">
        <v>4859</v>
      </c>
      <c r="F2130" s="617" t="s">
        <v>24</v>
      </c>
      <c r="G2130" s="624"/>
      <c r="O2130" s="616"/>
      <c r="P2130" s="616"/>
      <c r="Q2130" s="616"/>
      <c r="AA2130" s="624"/>
      <c r="AB2130" s="663">
        <v>39113000500</v>
      </c>
      <c r="AC2130" s="663" t="s">
        <v>7062</v>
      </c>
      <c r="AD2130" s="663" t="s">
        <v>4950</v>
      </c>
      <c r="AE2130" s="663" t="s">
        <v>4931</v>
      </c>
      <c r="AF2130" s="663" t="s">
        <v>4962</v>
      </c>
    </row>
    <row r="2131" spans="1:32" s="608" customFormat="1" x14ac:dyDescent="0.25">
      <c r="A2131" s="624"/>
      <c r="B2131" s="617">
        <v>39099802100</v>
      </c>
      <c r="C2131" s="617" t="s">
        <v>3799</v>
      </c>
      <c r="D2131" s="617" t="s">
        <v>73</v>
      </c>
      <c r="E2131" s="617" t="s">
        <v>4859</v>
      </c>
      <c r="F2131" s="617" t="s">
        <v>24</v>
      </c>
      <c r="G2131" s="624"/>
      <c r="O2131" s="616"/>
      <c r="P2131" s="616"/>
      <c r="Q2131" s="616"/>
      <c r="AA2131" s="624"/>
      <c r="AB2131" s="663">
        <v>39113000600</v>
      </c>
      <c r="AC2131" s="663" t="s">
        <v>7063</v>
      </c>
      <c r="AD2131" s="663" t="s">
        <v>4948</v>
      </c>
      <c r="AE2131" s="663" t="s">
        <v>5006</v>
      </c>
      <c r="AF2131" s="663" t="s">
        <v>4962</v>
      </c>
    </row>
    <row r="2132" spans="1:32" s="608" customFormat="1" x14ac:dyDescent="0.25">
      <c r="A2132" s="624"/>
      <c r="B2132" s="617">
        <v>39099802300</v>
      </c>
      <c r="C2132" s="617" t="s">
        <v>3800</v>
      </c>
      <c r="D2132" s="617" t="s">
        <v>73</v>
      </c>
      <c r="E2132" s="617" t="s">
        <v>4859</v>
      </c>
      <c r="F2132" s="617" t="s">
        <v>24</v>
      </c>
      <c r="G2132" s="624"/>
      <c r="O2132" s="616"/>
      <c r="P2132" s="616"/>
      <c r="Q2132" s="616"/>
      <c r="AA2132" s="624"/>
      <c r="AB2132" s="663">
        <v>39113000700</v>
      </c>
      <c r="AC2132" s="663" t="s">
        <v>7064</v>
      </c>
      <c r="AD2132" s="663" t="s">
        <v>4950</v>
      </c>
      <c r="AE2132" s="663" t="s">
        <v>4934</v>
      </c>
      <c r="AF2132" s="663" t="s">
        <v>4962</v>
      </c>
    </row>
    <row r="2133" spans="1:32" s="608" customFormat="1" x14ac:dyDescent="0.25">
      <c r="A2133" s="624"/>
      <c r="B2133" s="617">
        <v>39099802400</v>
      </c>
      <c r="C2133" s="617" t="s">
        <v>3801</v>
      </c>
      <c r="D2133" s="617" t="s">
        <v>73</v>
      </c>
      <c r="E2133" s="617" t="s">
        <v>4859</v>
      </c>
      <c r="F2133" s="617" t="s">
        <v>24</v>
      </c>
      <c r="G2133" s="624"/>
      <c r="O2133" s="616"/>
      <c r="P2133" s="616"/>
      <c r="Q2133" s="616"/>
      <c r="AA2133" s="624"/>
      <c r="AB2133" s="663">
        <v>39113000801</v>
      </c>
      <c r="AC2133" s="663" t="s">
        <v>7065</v>
      </c>
      <c r="AD2133" s="663" t="s">
        <v>4950</v>
      </c>
      <c r="AE2133" s="663" t="s">
        <v>4928</v>
      </c>
      <c r="AF2133" s="663" t="s">
        <v>4962</v>
      </c>
    </row>
    <row r="2134" spans="1:32" s="608" customFormat="1" x14ac:dyDescent="0.25">
      <c r="A2134" s="624"/>
      <c r="B2134" s="617">
        <v>39099802500</v>
      </c>
      <c r="C2134" s="617" t="s">
        <v>3802</v>
      </c>
      <c r="D2134" s="617" t="s">
        <v>73</v>
      </c>
      <c r="E2134" s="617" t="s">
        <v>4859</v>
      </c>
      <c r="F2134" s="617" t="s">
        <v>24</v>
      </c>
      <c r="G2134" s="624"/>
      <c r="O2134" s="616"/>
      <c r="P2134" s="616"/>
      <c r="Q2134" s="616"/>
      <c r="AA2134" s="624"/>
      <c r="AB2134" s="663">
        <v>39113000802</v>
      </c>
      <c r="AC2134" s="663" t="s">
        <v>7066</v>
      </c>
      <c r="AD2134" s="663" t="s">
        <v>4927</v>
      </c>
      <c r="AE2134" s="663" t="s">
        <v>4934</v>
      </c>
      <c r="AF2134" s="663" t="s">
        <v>4962</v>
      </c>
    </row>
    <row r="2135" spans="1:32" s="608" customFormat="1" x14ac:dyDescent="0.25">
      <c r="A2135" s="624"/>
      <c r="B2135" s="617">
        <v>39099802600</v>
      </c>
      <c r="C2135" s="617" t="s">
        <v>3803</v>
      </c>
      <c r="D2135" s="617" t="s">
        <v>73</v>
      </c>
      <c r="E2135" s="617" t="s">
        <v>4859</v>
      </c>
      <c r="F2135" s="617" t="s">
        <v>26</v>
      </c>
      <c r="G2135" s="624"/>
      <c r="O2135" s="616"/>
      <c r="P2135" s="616"/>
      <c r="Q2135" s="616"/>
      <c r="AA2135" s="624"/>
      <c r="AB2135" s="663">
        <v>39113000900</v>
      </c>
      <c r="AC2135" s="663" t="s">
        <v>7067</v>
      </c>
      <c r="AD2135" s="663" t="s">
        <v>4948</v>
      </c>
      <c r="AE2135" s="663" t="s">
        <v>4931</v>
      </c>
      <c r="AF2135" s="663" t="s">
        <v>4962</v>
      </c>
    </row>
    <row r="2136" spans="1:32" s="608" customFormat="1" x14ac:dyDescent="0.25">
      <c r="A2136" s="624"/>
      <c r="B2136" s="617">
        <v>39099802701</v>
      </c>
      <c r="C2136" s="617" t="s">
        <v>3804</v>
      </c>
      <c r="D2136" s="617" t="s">
        <v>73</v>
      </c>
      <c r="E2136" s="617" t="s">
        <v>4859</v>
      </c>
      <c r="F2136" s="617" t="s">
        <v>26</v>
      </c>
      <c r="G2136" s="624"/>
      <c r="O2136" s="616"/>
      <c r="P2136" s="616"/>
      <c r="Q2136" s="616"/>
      <c r="AA2136" s="624"/>
      <c r="AB2136" s="663">
        <v>39113001000</v>
      </c>
      <c r="AC2136" s="663" t="s">
        <v>7068</v>
      </c>
      <c r="AD2136" s="663" t="s">
        <v>4927</v>
      </c>
      <c r="AE2136" s="663" t="s">
        <v>4931</v>
      </c>
      <c r="AF2136" s="663" t="s">
        <v>4962</v>
      </c>
    </row>
    <row r="2137" spans="1:32" s="608" customFormat="1" x14ac:dyDescent="0.25">
      <c r="A2137" s="624"/>
      <c r="B2137" s="617">
        <v>39099802702</v>
      </c>
      <c r="C2137" s="617" t="s">
        <v>3805</v>
      </c>
      <c r="D2137" s="617" t="s">
        <v>73</v>
      </c>
      <c r="E2137" s="617" t="s">
        <v>4859</v>
      </c>
      <c r="F2137" s="617" t="s">
        <v>26</v>
      </c>
      <c r="G2137" s="624"/>
      <c r="O2137" s="616"/>
      <c r="P2137" s="616"/>
      <c r="Q2137" s="616"/>
      <c r="AA2137" s="624"/>
      <c r="AB2137" s="663">
        <v>39113001100</v>
      </c>
      <c r="AC2137" s="663" t="s">
        <v>7069</v>
      </c>
      <c r="AD2137" s="663" t="s">
        <v>4927</v>
      </c>
      <c r="AE2137" s="663" t="s">
        <v>4934</v>
      </c>
      <c r="AF2137" s="663" t="s">
        <v>4962</v>
      </c>
    </row>
    <row r="2138" spans="1:32" s="608" customFormat="1" x14ac:dyDescent="0.25">
      <c r="A2138" s="624"/>
      <c r="B2138" s="617">
        <v>39099802800</v>
      </c>
      <c r="C2138" s="617" t="s">
        <v>3806</v>
      </c>
      <c r="D2138" s="617" t="s">
        <v>73</v>
      </c>
      <c r="E2138" s="617" t="s">
        <v>4859</v>
      </c>
      <c r="F2138" s="617" t="s">
        <v>24</v>
      </c>
      <c r="G2138" s="624"/>
      <c r="O2138" s="616"/>
      <c r="P2138" s="616"/>
      <c r="Q2138" s="616"/>
      <c r="AA2138" s="624"/>
      <c r="AB2138" s="663">
        <v>39113001200</v>
      </c>
      <c r="AC2138" s="663" t="s">
        <v>7070</v>
      </c>
      <c r="AD2138" s="663" t="s">
        <v>4948</v>
      </c>
      <c r="AE2138" s="663" t="s">
        <v>4931</v>
      </c>
      <c r="AF2138" s="663" t="s">
        <v>4962</v>
      </c>
    </row>
    <row r="2139" spans="1:32" s="608" customFormat="1" x14ac:dyDescent="0.25">
      <c r="A2139" s="624"/>
      <c r="B2139" s="617">
        <v>39099802900</v>
      </c>
      <c r="C2139" s="617" t="s">
        <v>3807</v>
      </c>
      <c r="D2139" s="617" t="s">
        <v>73</v>
      </c>
      <c r="E2139" s="617" t="s">
        <v>4859</v>
      </c>
      <c r="F2139" s="617" t="s">
        <v>24</v>
      </c>
      <c r="G2139" s="624"/>
      <c r="O2139" s="616"/>
      <c r="P2139" s="616"/>
      <c r="Q2139" s="616"/>
      <c r="AA2139" s="624"/>
      <c r="AB2139" s="663">
        <v>39113001501</v>
      </c>
      <c r="AC2139" s="663" t="s">
        <v>7071</v>
      </c>
      <c r="AD2139" s="663" t="s">
        <v>4938</v>
      </c>
      <c r="AE2139" s="663" t="s">
        <v>4939</v>
      </c>
      <c r="AF2139" s="663" t="s">
        <v>4962</v>
      </c>
    </row>
    <row r="2140" spans="1:32" s="608" customFormat="1" x14ac:dyDescent="0.25">
      <c r="A2140" s="624"/>
      <c r="B2140" s="617">
        <v>39099803000</v>
      </c>
      <c r="C2140" s="617" t="s">
        <v>3808</v>
      </c>
      <c r="D2140" s="617" t="s">
        <v>73</v>
      </c>
      <c r="E2140" s="617" t="s">
        <v>4859</v>
      </c>
      <c r="F2140" s="617" t="s">
        <v>24</v>
      </c>
      <c r="G2140" s="624"/>
      <c r="O2140" s="616"/>
      <c r="P2140" s="616"/>
      <c r="Q2140" s="616"/>
      <c r="AA2140" s="624"/>
      <c r="AB2140" s="663">
        <v>39113001600</v>
      </c>
      <c r="AC2140" s="663" t="s">
        <v>7072</v>
      </c>
      <c r="AD2140" s="663" t="s">
        <v>4927</v>
      </c>
      <c r="AE2140" s="663" t="s">
        <v>4939</v>
      </c>
      <c r="AF2140" s="663" t="s">
        <v>4946</v>
      </c>
    </row>
    <row r="2141" spans="1:32" s="608" customFormat="1" x14ac:dyDescent="0.25">
      <c r="A2141" s="624"/>
      <c r="B2141" s="617">
        <v>39099804000</v>
      </c>
      <c r="C2141" s="617" t="s">
        <v>3809</v>
      </c>
      <c r="D2141" s="617" t="s">
        <v>73</v>
      </c>
      <c r="E2141" s="617" t="s">
        <v>4859</v>
      </c>
      <c r="F2141" s="617" t="s">
        <v>24</v>
      </c>
      <c r="G2141" s="624"/>
      <c r="O2141" s="616"/>
      <c r="P2141" s="616"/>
      <c r="Q2141" s="616"/>
      <c r="AA2141" s="624"/>
      <c r="AB2141" s="663">
        <v>39113001700</v>
      </c>
      <c r="AC2141" s="663" t="s">
        <v>7073</v>
      </c>
      <c r="AD2141" s="663" t="s">
        <v>4927</v>
      </c>
      <c r="AE2141" s="663" t="s">
        <v>4939</v>
      </c>
      <c r="AF2141" s="663" t="s">
        <v>4962</v>
      </c>
    </row>
    <row r="2142" spans="1:32" s="608" customFormat="1" x14ac:dyDescent="0.25">
      <c r="A2142" s="624"/>
      <c r="B2142" s="617">
        <v>39099804100</v>
      </c>
      <c r="C2142" s="617" t="s">
        <v>3810</v>
      </c>
      <c r="D2142" s="617" t="s">
        <v>73</v>
      </c>
      <c r="E2142" s="617" t="s">
        <v>4859</v>
      </c>
      <c r="F2142" s="617" t="s">
        <v>26</v>
      </c>
      <c r="G2142" s="624"/>
      <c r="O2142" s="616"/>
      <c r="P2142" s="616"/>
      <c r="Q2142" s="616"/>
      <c r="AA2142" s="624"/>
      <c r="AB2142" s="663">
        <v>39113001800</v>
      </c>
      <c r="AC2142" s="663" t="s">
        <v>7074</v>
      </c>
      <c r="AD2142" s="663" t="s">
        <v>4948</v>
      </c>
      <c r="AE2142" s="663" t="s">
        <v>4928</v>
      </c>
      <c r="AF2142" s="663" t="s">
        <v>4962</v>
      </c>
    </row>
    <row r="2143" spans="1:32" s="608" customFormat="1" x14ac:dyDescent="0.25">
      <c r="A2143" s="624"/>
      <c r="B2143" s="617">
        <v>39099804200</v>
      </c>
      <c r="C2143" s="617" t="s">
        <v>3811</v>
      </c>
      <c r="D2143" s="617" t="s">
        <v>73</v>
      </c>
      <c r="E2143" s="617" t="s">
        <v>4859</v>
      </c>
      <c r="F2143" s="617" t="s">
        <v>26</v>
      </c>
      <c r="G2143" s="624"/>
      <c r="O2143" s="616"/>
      <c r="P2143" s="616"/>
      <c r="Q2143" s="616"/>
      <c r="AA2143" s="624"/>
      <c r="AB2143" s="663">
        <v>39113001900</v>
      </c>
      <c r="AC2143" s="663" t="s">
        <v>7075</v>
      </c>
      <c r="AD2143" s="663" t="s">
        <v>4941</v>
      </c>
      <c r="AE2143" s="663" t="s">
        <v>4934</v>
      </c>
      <c r="AF2143" s="663" t="s">
        <v>4962</v>
      </c>
    </row>
    <row r="2144" spans="1:32" s="608" customFormat="1" x14ac:dyDescent="0.25">
      <c r="A2144" s="624"/>
      <c r="B2144" s="617">
        <v>39099804300</v>
      </c>
      <c r="C2144" s="617" t="s">
        <v>3812</v>
      </c>
      <c r="D2144" s="617" t="s">
        <v>73</v>
      </c>
      <c r="E2144" s="617" t="s">
        <v>4859</v>
      </c>
      <c r="F2144" s="617" t="s">
        <v>24</v>
      </c>
      <c r="G2144" s="624"/>
      <c r="O2144" s="616"/>
      <c r="P2144" s="616"/>
      <c r="Q2144" s="616"/>
      <c r="AA2144" s="624"/>
      <c r="AB2144" s="663">
        <v>39113002000</v>
      </c>
      <c r="AC2144" s="663" t="s">
        <v>7076</v>
      </c>
      <c r="AD2144" s="663" t="s">
        <v>4950</v>
      </c>
      <c r="AE2144" s="663" t="s">
        <v>4928</v>
      </c>
      <c r="AF2144" s="663" t="s">
        <v>4962</v>
      </c>
    </row>
    <row r="2145" spans="1:32" s="608" customFormat="1" x14ac:dyDescent="0.25">
      <c r="A2145" s="624"/>
      <c r="B2145" s="617">
        <v>39099810100</v>
      </c>
      <c r="C2145" s="617" t="s">
        <v>3813</v>
      </c>
      <c r="D2145" s="617" t="s">
        <v>73</v>
      </c>
      <c r="E2145" s="617" t="s">
        <v>4859</v>
      </c>
      <c r="F2145" s="617" t="s">
        <v>26</v>
      </c>
      <c r="G2145" s="624"/>
      <c r="O2145" s="616"/>
      <c r="P2145" s="616"/>
      <c r="Q2145" s="616"/>
      <c r="AA2145" s="624"/>
      <c r="AB2145" s="663">
        <v>39113002200</v>
      </c>
      <c r="AC2145" s="663" t="s">
        <v>7077</v>
      </c>
      <c r="AD2145" s="663" t="s">
        <v>4950</v>
      </c>
      <c r="AE2145" s="663" t="s">
        <v>4942</v>
      </c>
      <c r="AF2145" s="663" t="s">
        <v>4962</v>
      </c>
    </row>
    <row r="2146" spans="1:32" s="608" customFormat="1" x14ac:dyDescent="0.25">
      <c r="A2146" s="624"/>
      <c r="B2146" s="617">
        <v>39099810200</v>
      </c>
      <c r="C2146" s="617" t="s">
        <v>3814</v>
      </c>
      <c r="D2146" s="617" t="s">
        <v>73</v>
      </c>
      <c r="E2146" s="617" t="s">
        <v>4859</v>
      </c>
      <c r="F2146" s="617" t="s">
        <v>24</v>
      </c>
      <c r="G2146" s="624"/>
      <c r="O2146" s="616"/>
      <c r="P2146" s="616"/>
      <c r="Q2146" s="616"/>
      <c r="AA2146" s="624"/>
      <c r="AB2146" s="663">
        <v>39113002300</v>
      </c>
      <c r="AC2146" s="663" t="s">
        <v>7078</v>
      </c>
      <c r="AD2146" s="663" t="s">
        <v>4948</v>
      </c>
      <c r="AE2146" s="663" t="s">
        <v>4931</v>
      </c>
      <c r="AF2146" s="663" t="s">
        <v>4962</v>
      </c>
    </row>
    <row r="2147" spans="1:32" s="608" customFormat="1" x14ac:dyDescent="0.25">
      <c r="A2147" s="624"/>
      <c r="B2147" s="617">
        <v>39099810300</v>
      </c>
      <c r="C2147" s="617" t="s">
        <v>3815</v>
      </c>
      <c r="D2147" s="617" t="s">
        <v>73</v>
      </c>
      <c r="E2147" s="617" t="s">
        <v>4859</v>
      </c>
      <c r="F2147" s="617" t="s">
        <v>24</v>
      </c>
      <c r="G2147" s="624"/>
      <c r="O2147" s="616"/>
      <c r="P2147" s="616"/>
      <c r="Q2147" s="616"/>
      <c r="AA2147" s="624"/>
      <c r="AB2147" s="663">
        <v>39113002400</v>
      </c>
      <c r="AC2147" s="663" t="s">
        <v>7079</v>
      </c>
      <c r="AD2147" s="663" t="s">
        <v>4948</v>
      </c>
      <c r="AE2147" s="663" t="s">
        <v>4942</v>
      </c>
      <c r="AF2147" s="663" t="s">
        <v>4962</v>
      </c>
    </row>
    <row r="2148" spans="1:32" s="608" customFormat="1" x14ac:dyDescent="0.25">
      <c r="A2148" s="624"/>
      <c r="B2148" s="617">
        <v>39099810600</v>
      </c>
      <c r="C2148" s="617" t="s">
        <v>3816</v>
      </c>
      <c r="D2148" s="617" t="s">
        <v>73</v>
      </c>
      <c r="E2148" s="617" t="s">
        <v>4859</v>
      </c>
      <c r="F2148" s="617" t="s">
        <v>24</v>
      </c>
      <c r="G2148" s="624"/>
      <c r="O2148" s="616"/>
      <c r="P2148" s="616"/>
      <c r="Q2148" s="616"/>
      <c r="AA2148" s="624"/>
      <c r="AB2148" s="663">
        <v>39113002500</v>
      </c>
      <c r="AC2148" s="663" t="s">
        <v>7080</v>
      </c>
      <c r="AD2148" s="663" t="s">
        <v>4927</v>
      </c>
      <c r="AE2148" s="663" t="s">
        <v>4942</v>
      </c>
      <c r="AF2148" s="663" t="s">
        <v>4946</v>
      </c>
    </row>
    <row r="2149" spans="1:32" s="608" customFormat="1" x14ac:dyDescent="0.25">
      <c r="A2149" s="624"/>
      <c r="B2149" s="617">
        <v>39099810700</v>
      </c>
      <c r="C2149" s="617" t="s">
        <v>3817</v>
      </c>
      <c r="D2149" s="617" t="s">
        <v>73</v>
      </c>
      <c r="E2149" s="617" t="s">
        <v>4859</v>
      </c>
      <c r="F2149" s="617" t="s">
        <v>26</v>
      </c>
      <c r="G2149" s="624"/>
      <c r="O2149" s="616"/>
      <c r="P2149" s="616"/>
      <c r="Q2149" s="616"/>
      <c r="AA2149" s="624"/>
      <c r="AB2149" s="663">
        <v>39113002600</v>
      </c>
      <c r="AC2149" s="663" t="s">
        <v>7081</v>
      </c>
      <c r="AD2149" s="663" t="s">
        <v>4941</v>
      </c>
      <c r="AE2149" s="663" t="s">
        <v>4942</v>
      </c>
      <c r="AF2149" s="663" t="s">
        <v>4962</v>
      </c>
    </row>
    <row r="2150" spans="1:32" s="608" customFormat="1" x14ac:dyDescent="0.25">
      <c r="A2150" s="624"/>
      <c r="B2150" s="617">
        <v>39099810800</v>
      </c>
      <c r="C2150" s="617" t="s">
        <v>3818</v>
      </c>
      <c r="D2150" s="617" t="s">
        <v>73</v>
      </c>
      <c r="E2150" s="617" t="s">
        <v>4859</v>
      </c>
      <c r="F2150" s="617" t="s">
        <v>24</v>
      </c>
      <c r="G2150" s="624"/>
      <c r="O2150" s="616"/>
      <c r="P2150" s="616"/>
      <c r="Q2150" s="616"/>
      <c r="AA2150" s="624"/>
      <c r="AB2150" s="663">
        <v>39113002700</v>
      </c>
      <c r="AC2150" s="663" t="s">
        <v>7082</v>
      </c>
      <c r="AD2150" s="663" t="s">
        <v>4941</v>
      </c>
      <c r="AE2150" s="663" t="s">
        <v>4934</v>
      </c>
      <c r="AF2150" s="663" t="s">
        <v>4962</v>
      </c>
    </row>
    <row r="2151" spans="1:32" s="608" customFormat="1" x14ac:dyDescent="0.25">
      <c r="A2151" s="624"/>
      <c r="B2151" s="617">
        <v>39099810900</v>
      </c>
      <c r="C2151" s="617" t="s">
        <v>3819</v>
      </c>
      <c r="D2151" s="617" t="s">
        <v>73</v>
      </c>
      <c r="E2151" s="617" t="s">
        <v>4859</v>
      </c>
      <c r="F2151" s="617" t="s">
        <v>26</v>
      </c>
      <c r="G2151" s="624"/>
      <c r="O2151" s="616"/>
      <c r="P2151" s="616"/>
      <c r="Q2151" s="616"/>
      <c r="AA2151" s="624"/>
      <c r="AB2151" s="663">
        <v>39113002800</v>
      </c>
      <c r="AC2151" s="663" t="s">
        <v>7083</v>
      </c>
      <c r="AD2151" s="663" t="s">
        <v>4950</v>
      </c>
      <c r="AE2151" s="663" t="s">
        <v>4931</v>
      </c>
      <c r="AF2151" s="663" t="s">
        <v>4946</v>
      </c>
    </row>
    <row r="2152" spans="1:32" s="608" customFormat="1" x14ac:dyDescent="0.25">
      <c r="A2152" s="624"/>
      <c r="B2152" s="617">
        <v>39099811001</v>
      </c>
      <c r="C2152" s="617" t="s">
        <v>3820</v>
      </c>
      <c r="D2152" s="617" t="s">
        <v>73</v>
      </c>
      <c r="E2152" s="617" t="s">
        <v>4859</v>
      </c>
      <c r="F2152" s="617" t="s">
        <v>26</v>
      </c>
      <c r="G2152" s="624"/>
      <c r="O2152" s="616"/>
      <c r="P2152" s="616"/>
      <c r="Q2152" s="616"/>
      <c r="AA2152" s="624"/>
      <c r="AB2152" s="663">
        <v>39113002900</v>
      </c>
      <c r="AC2152" s="663" t="s">
        <v>7084</v>
      </c>
      <c r="AD2152" s="663" t="s">
        <v>4941</v>
      </c>
      <c r="AE2152" s="663" t="s">
        <v>4928</v>
      </c>
      <c r="AF2152" s="663" t="s">
        <v>4962</v>
      </c>
    </row>
    <row r="2153" spans="1:32" s="608" customFormat="1" x14ac:dyDescent="0.25">
      <c r="A2153" s="624"/>
      <c r="B2153" s="617">
        <v>39099811002</v>
      </c>
      <c r="C2153" s="617" t="s">
        <v>3821</v>
      </c>
      <c r="D2153" s="617" t="s">
        <v>73</v>
      </c>
      <c r="E2153" s="617" t="s">
        <v>4859</v>
      </c>
      <c r="F2153" s="617" t="s">
        <v>26</v>
      </c>
      <c r="G2153" s="624"/>
      <c r="O2153" s="616"/>
      <c r="P2153" s="616"/>
      <c r="Q2153" s="616"/>
      <c r="AA2153" s="624"/>
      <c r="AB2153" s="663">
        <v>39113003000</v>
      </c>
      <c r="AC2153" s="663" t="s">
        <v>7085</v>
      </c>
      <c r="AD2153" s="663" t="s">
        <v>4941</v>
      </c>
      <c r="AE2153" s="663" t="s">
        <v>4934</v>
      </c>
      <c r="AF2153" s="663" t="s">
        <v>4962</v>
      </c>
    </row>
    <row r="2154" spans="1:32" s="608" customFormat="1" x14ac:dyDescent="0.25">
      <c r="A2154" s="624"/>
      <c r="B2154" s="617">
        <v>39099811100</v>
      </c>
      <c r="C2154" s="617" t="s">
        <v>3822</v>
      </c>
      <c r="D2154" s="617" t="s">
        <v>73</v>
      </c>
      <c r="E2154" s="617" t="s">
        <v>4859</v>
      </c>
      <c r="F2154" s="617" t="s">
        <v>26</v>
      </c>
      <c r="G2154" s="624"/>
      <c r="O2154" s="616"/>
      <c r="P2154" s="616"/>
      <c r="Q2154" s="616"/>
      <c r="AA2154" s="624"/>
      <c r="AB2154" s="663">
        <v>39113003100</v>
      </c>
      <c r="AC2154" s="663" t="s">
        <v>7086</v>
      </c>
      <c r="AD2154" s="663" t="s">
        <v>4941</v>
      </c>
      <c r="AE2154" s="663" t="s">
        <v>4942</v>
      </c>
      <c r="AF2154" s="663" t="s">
        <v>4962</v>
      </c>
    </row>
    <row r="2155" spans="1:32" s="608" customFormat="1" x14ac:dyDescent="0.25">
      <c r="A2155" s="624"/>
      <c r="B2155" s="617">
        <v>39099811200</v>
      </c>
      <c r="C2155" s="617" t="s">
        <v>3823</v>
      </c>
      <c r="D2155" s="617" t="s">
        <v>73</v>
      </c>
      <c r="E2155" s="617" t="s">
        <v>4859</v>
      </c>
      <c r="F2155" s="617" t="s">
        <v>26</v>
      </c>
      <c r="G2155" s="624"/>
      <c r="O2155" s="616"/>
      <c r="P2155" s="616"/>
      <c r="Q2155" s="616"/>
      <c r="AA2155" s="624"/>
      <c r="AB2155" s="663">
        <v>39113003201</v>
      </c>
      <c r="AC2155" s="663" t="s">
        <v>7087</v>
      </c>
      <c r="AD2155" s="663" t="s">
        <v>4938</v>
      </c>
      <c r="AE2155" s="663" t="s">
        <v>4934</v>
      </c>
      <c r="AF2155" s="663" t="s">
        <v>4962</v>
      </c>
    </row>
    <row r="2156" spans="1:32" s="608" customFormat="1" x14ac:dyDescent="0.25">
      <c r="A2156" s="624"/>
      <c r="B2156" s="617">
        <v>39099811301</v>
      </c>
      <c r="C2156" s="617" t="s">
        <v>3824</v>
      </c>
      <c r="D2156" s="617" t="s">
        <v>73</v>
      </c>
      <c r="E2156" s="617" t="s">
        <v>4859</v>
      </c>
      <c r="F2156" s="617" t="s">
        <v>26</v>
      </c>
      <c r="G2156" s="624"/>
      <c r="O2156" s="616"/>
      <c r="P2156" s="616"/>
      <c r="Q2156" s="616"/>
      <c r="AA2156" s="624"/>
      <c r="AB2156" s="663">
        <v>39113003300</v>
      </c>
      <c r="AC2156" s="663" t="s">
        <v>7088</v>
      </c>
      <c r="AD2156" s="663" t="s">
        <v>4941</v>
      </c>
      <c r="AE2156" s="663" t="s">
        <v>4928</v>
      </c>
      <c r="AF2156" s="663" t="s">
        <v>4962</v>
      </c>
    </row>
    <row r="2157" spans="1:32" s="608" customFormat="1" x14ac:dyDescent="0.25">
      <c r="A2157" s="624"/>
      <c r="B2157" s="617">
        <v>39099811302</v>
      </c>
      <c r="C2157" s="617" t="s">
        <v>3825</v>
      </c>
      <c r="D2157" s="617" t="s">
        <v>73</v>
      </c>
      <c r="E2157" s="617" t="s">
        <v>4859</v>
      </c>
      <c r="F2157" s="617" t="s">
        <v>26</v>
      </c>
      <c r="G2157" s="624"/>
      <c r="O2157" s="616"/>
      <c r="P2157" s="616"/>
      <c r="Q2157" s="616"/>
      <c r="AA2157" s="624"/>
      <c r="AB2157" s="663">
        <v>39113003402</v>
      </c>
      <c r="AC2157" s="663" t="s">
        <v>7089</v>
      </c>
      <c r="AD2157" s="663" t="s">
        <v>4938</v>
      </c>
      <c r="AE2157" s="663" t="s">
        <v>4942</v>
      </c>
      <c r="AF2157" s="663" t="s">
        <v>4962</v>
      </c>
    </row>
    <row r="2158" spans="1:32" s="608" customFormat="1" x14ac:dyDescent="0.25">
      <c r="A2158" s="624"/>
      <c r="B2158" s="617">
        <v>39099811400</v>
      </c>
      <c r="C2158" s="617" t="s">
        <v>3826</v>
      </c>
      <c r="D2158" s="617" t="s">
        <v>73</v>
      </c>
      <c r="E2158" s="617" t="s">
        <v>4859</v>
      </c>
      <c r="F2158" s="617" t="s">
        <v>26</v>
      </c>
      <c r="G2158" s="624"/>
      <c r="O2158" s="616"/>
      <c r="P2158" s="616"/>
      <c r="Q2158" s="616"/>
      <c r="AA2158" s="624"/>
      <c r="AB2158" s="663">
        <v>39113003403</v>
      </c>
      <c r="AC2158" s="663" t="s">
        <v>7090</v>
      </c>
      <c r="AD2158" s="663" t="s">
        <v>4948</v>
      </c>
      <c r="AE2158" s="663" t="s">
        <v>4942</v>
      </c>
      <c r="AF2158" s="663" t="s">
        <v>4946</v>
      </c>
    </row>
    <row r="2159" spans="1:32" s="608" customFormat="1" x14ac:dyDescent="0.25">
      <c r="A2159" s="624"/>
      <c r="B2159" s="617">
        <v>39099811500</v>
      </c>
      <c r="C2159" s="617" t="s">
        <v>3827</v>
      </c>
      <c r="D2159" s="617" t="s">
        <v>73</v>
      </c>
      <c r="E2159" s="617" t="s">
        <v>4859</v>
      </c>
      <c r="F2159" s="617" t="s">
        <v>26</v>
      </c>
      <c r="G2159" s="624"/>
      <c r="O2159" s="616"/>
      <c r="P2159" s="616"/>
      <c r="Q2159" s="616"/>
      <c r="AA2159" s="624"/>
      <c r="AB2159" s="663">
        <v>39113003404</v>
      </c>
      <c r="AC2159" s="663" t="s">
        <v>7091</v>
      </c>
      <c r="AD2159" s="663" t="s">
        <v>4938</v>
      </c>
      <c r="AE2159" s="663" t="s">
        <v>4939</v>
      </c>
      <c r="AF2159" s="663" t="s">
        <v>4962</v>
      </c>
    </row>
    <row r="2160" spans="1:32" s="608" customFormat="1" x14ac:dyDescent="0.25">
      <c r="A2160" s="624"/>
      <c r="B2160" s="617">
        <v>39099811600</v>
      </c>
      <c r="C2160" s="617" t="s">
        <v>3828</v>
      </c>
      <c r="D2160" s="617" t="s">
        <v>73</v>
      </c>
      <c r="E2160" s="617" t="s">
        <v>4859</v>
      </c>
      <c r="F2160" s="617" t="s">
        <v>26</v>
      </c>
      <c r="G2160" s="624"/>
      <c r="O2160" s="616"/>
      <c r="P2160" s="616"/>
      <c r="Q2160" s="616"/>
      <c r="AA2160" s="624"/>
      <c r="AB2160" s="663">
        <v>39113003500</v>
      </c>
      <c r="AC2160" s="663" t="s">
        <v>7092</v>
      </c>
      <c r="AD2160" s="663" t="s">
        <v>4948</v>
      </c>
      <c r="AE2160" s="663" t="s">
        <v>4939</v>
      </c>
      <c r="AF2160" s="663" t="s">
        <v>4962</v>
      </c>
    </row>
    <row r="2161" spans="1:32" s="608" customFormat="1" x14ac:dyDescent="0.25">
      <c r="A2161" s="624"/>
      <c r="B2161" s="617">
        <v>39099811700</v>
      </c>
      <c r="C2161" s="617" t="s">
        <v>3829</v>
      </c>
      <c r="D2161" s="617" t="s">
        <v>73</v>
      </c>
      <c r="E2161" s="617" t="s">
        <v>4859</v>
      </c>
      <c r="F2161" s="617" t="s">
        <v>26</v>
      </c>
      <c r="G2161" s="624"/>
      <c r="O2161" s="616"/>
      <c r="P2161" s="616"/>
      <c r="Q2161" s="616"/>
      <c r="AA2161" s="624"/>
      <c r="AB2161" s="663">
        <v>39113003800</v>
      </c>
      <c r="AC2161" s="663" t="s">
        <v>7093</v>
      </c>
      <c r="AD2161" s="663" t="s">
        <v>4927</v>
      </c>
      <c r="AE2161" s="663" t="s">
        <v>4942</v>
      </c>
      <c r="AF2161" s="663" t="s">
        <v>4962</v>
      </c>
    </row>
    <row r="2162" spans="1:32" s="608" customFormat="1" x14ac:dyDescent="0.25">
      <c r="A2162" s="624"/>
      <c r="B2162" s="617">
        <v>39099811800</v>
      </c>
      <c r="C2162" s="617" t="s">
        <v>3830</v>
      </c>
      <c r="D2162" s="617" t="s">
        <v>73</v>
      </c>
      <c r="E2162" s="617" t="s">
        <v>4859</v>
      </c>
      <c r="F2162" s="617" t="s">
        <v>26</v>
      </c>
      <c r="G2162" s="624"/>
      <c r="O2162" s="616"/>
      <c r="P2162" s="616"/>
      <c r="Q2162" s="616"/>
      <c r="AA2162" s="624"/>
      <c r="AB2162" s="663">
        <v>39113003900</v>
      </c>
      <c r="AC2162" s="663" t="s">
        <v>7094</v>
      </c>
      <c r="AD2162" s="663" t="s">
        <v>4950</v>
      </c>
      <c r="AE2162" s="663" t="s">
        <v>4928</v>
      </c>
      <c r="AF2162" s="663" t="s">
        <v>4962</v>
      </c>
    </row>
    <row r="2163" spans="1:32" s="608" customFormat="1" x14ac:dyDescent="0.25">
      <c r="A2163" s="624"/>
      <c r="B2163" s="617">
        <v>39099811901</v>
      </c>
      <c r="C2163" s="617" t="s">
        <v>3831</v>
      </c>
      <c r="D2163" s="617" t="s">
        <v>73</v>
      </c>
      <c r="E2163" s="617" t="s">
        <v>4859</v>
      </c>
      <c r="F2163" s="617" t="s">
        <v>26</v>
      </c>
      <c r="G2163" s="624"/>
      <c r="O2163" s="616"/>
      <c r="P2163" s="616"/>
      <c r="Q2163" s="616"/>
      <c r="AA2163" s="624"/>
      <c r="AB2163" s="663">
        <v>39113004100</v>
      </c>
      <c r="AC2163" s="663" t="s">
        <v>7095</v>
      </c>
      <c r="AD2163" s="663" t="s">
        <v>4927</v>
      </c>
      <c r="AE2163" s="663" t="s">
        <v>4934</v>
      </c>
      <c r="AF2163" s="663" t="s">
        <v>4946</v>
      </c>
    </row>
    <row r="2164" spans="1:32" s="608" customFormat="1" x14ac:dyDescent="0.25">
      <c r="A2164" s="624"/>
      <c r="B2164" s="617">
        <v>39099811902</v>
      </c>
      <c r="C2164" s="617" t="s">
        <v>3832</v>
      </c>
      <c r="D2164" s="617" t="s">
        <v>73</v>
      </c>
      <c r="E2164" s="617" t="s">
        <v>4859</v>
      </c>
      <c r="F2164" s="617" t="s">
        <v>26</v>
      </c>
      <c r="G2164" s="624"/>
      <c r="O2164" s="616"/>
      <c r="P2164" s="616"/>
      <c r="Q2164" s="616"/>
      <c r="AA2164" s="624"/>
      <c r="AB2164" s="663">
        <v>39113004200</v>
      </c>
      <c r="AC2164" s="663" t="s">
        <v>7096</v>
      </c>
      <c r="AD2164" s="663" t="s">
        <v>4927</v>
      </c>
      <c r="AE2164" s="663" t="s">
        <v>4931</v>
      </c>
      <c r="AF2164" s="663" t="s">
        <v>4962</v>
      </c>
    </row>
    <row r="2165" spans="1:32" s="608" customFormat="1" x14ac:dyDescent="0.25">
      <c r="A2165" s="624"/>
      <c r="B2165" s="617">
        <v>39099812001</v>
      </c>
      <c r="C2165" s="617" t="s">
        <v>3833</v>
      </c>
      <c r="D2165" s="617" t="s">
        <v>73</v>
      </c>
      <c r="E2165" s="617" t="s">
        <v>4859</v>
      </c>
      <c r="F2165" s="617" t="s">
        <v>26</v>
      </c>
      <c r="G2165" s="624"/>
      <c r="O2165" s="616"/>
      <c r="P2165" s="616"/>
      <c r="Q2165" s="616"/>
      <c r="AA2165" s="624"/>
      <c r="AB2165" s="663">
        <v>39113004300</v>
      </c>
      <c r="AC2165" s="663" t="s">
        <v>7097</v>
      </c>
      <c r="AD2165" s="663" t="s">
        <v>4927</v>
      </c>
      <c r="AE2165" s="663" t="s">
        <v>4928</v>
      </c>
      <c r="AF2165" s="663" t="s">
        <v>4946</v>
      </c>
    </row>
    <row r="2166" spans="1:32" s="608" customFormat="1" x14ac:dyDescent="0.25">
      <c r="A2166" s="624"/>
      <c r="B2166" s="617">
        <v>39099812002</v>
      </c>
      <c r="C2166" s="617" t="s">
        <v>3834</v>
      </c>
      <c r="D2166" s="617" t="s">
        <v>73</v>
      </c>
      <c r="E2166" s="617" t="s">
        <v>4859</v>
      </c>
      <c r="F2166" s="617" t="s">
        <v>26</v>
      </c>
      <c r="G2166" s="624"/>
      <c r="O2166" s="616"/>
      <c r="P2166" s="616"/>
      <c r="Q2166" s="616"/>
      <c r="AA2166" s="624"/>
      <c r="AB2166" s="663">
        <v>39113004400</v>
      </c>
      <c r="AC2166" s="663" t="s">
        <v>7098</v>
      </c>
      <c r="AD2166" s="663" t="s">
        <v>4927</v>
      </c>
      <c r="AE2166" s="663" t="s">
        <v>4928</v>
      </c>
      <c r="AF2166" s="663" t="s">
        <v>4962</v>
      </c>
    </row>
    <row r="2167" spans="1:32" s="608" customFormat="1" x14ac:dyDescent="0.25">
      <c r="A2167" s="624"/>
      <c r="B2167" s="617">
        <v>39099812101</v>
      </c>
      <c r="C2167" s="617" t="s">
        <v>3835</v>
      </c>
      <c r="D2167" s="617" t="s">
        <v>73</v>
      </c>
      <c r="E2167" s="617" t="s">
        <v>4859</v>
      </c>
      <c r="F2167" s="617" t="s">
        <v>26</v>
      </c>
      <c r="G2167" s="624"/>
      <c r="O2167" s="616"/>
      <c r="P2167" s="616"/>
      <c r="Q2167" s="616"/>
      <c r="AA2167" s="624"/>
      <c r="AB2167" s="663">
        <v>39113004600</v>
      </c>
      <c r="AC2167" s="663" t="s">
        <v>7099</v>
      </c>
      <c r="AD2167" s="663" t="s">
        <v>4927</v>
      </c>
      <c r="AE2167" s="663" t="s">
        <v>4928</v>
      </c>
      <c r="AF2167" s="663" t="s">
        <v>4946</v>
      </c>
    </row>
    <row r="2168" spans="1:32" s="608" customFormat="1" x14ac:dyDescent="0.25">
      <c r="A2168" s="624"/>
      <c r="B2168" s="617">
        <v>39099812102</v>
      </c>
      <c r="C2168" s="617" t="s">
        <v>3836</v>
      </c>
      <c r="D2168" s="617" t="s">
        <v>73</v>
      </c>
      <c r="E2168" s="617" t="s">
        <v>4859</v>
      </c>
      <c r="F2168" s="617" t="s">
        <v>26</v>
      </c>
      <c r="G2168" s="624"/>
      <c r="O2168" s="616"/>
      <c r="P2168" s="616"/>
      <c r="Q2168" s="616"/>
      <c r="AA2168" s="624"/>
      <c r="AB2168" s="663">
        <v>39113010100</v>
      </c>
      <c r="AC2168" s="663" t="s">
        <v>7100</v>
      </c>
      <c r="AD2168" s="663" t="s">
        <v>4938</v>
      </c>
      <c r="AE2168" s="663" t="s">
        <v>4939</v>
      </c>
      <c r="AF2168" s="663" t="s">
        <v>4946</v>
      </c>
    </row>
    <row r="2169" spans="1:32" s="608" customFormat="1" x14ac:dyDescent="0.25">
      <c r="A2169" s="624"/>
      <c r="B2169" s="617">
        <v>39099812200</v>
      </c>
      <c r="C2169" s="617" t="s">
        <v>3837</v>
      </c>
      <c r="D2169" s="617" t="s">
        <v>73</v>
      </c>
      <c r="E2169" s="617" t="s">
        <v>4859</v>
      </c>
      <c r="F2169" s="617" t="s">
        <v>26</v>
      </c>
      <c r="G2169" s="624"/>
      <c r="O2169" s="616"/>
      <c r="P2169" s="616"/>
      <c r="Q2169" s="616"/>
      <c r="AA2169" s="624"/>
      <c r="AB2169" s="663">
        <v>39113010200</v>
      </c>
      <c r="AC2169" s="663" t="s">
        <v>7101</v>
      </c>
      <c r="AD2169" s="663" t="s">
        <v>4938</v>
      </c>
      <c r="AE2169" s="663" t="s">
        <v>4942</v>
      </c>
      <c r="AF2169" s="663" t="s">
        <v>4946</v>
      </c>
    </row>
    <row r="2170" spans="1:32" s="608" customFormat="1" x14ac:dyDescent="0.25">
      <c r="A2170" s="624"/>
      <c r="B2170" s="617">
        <v>39099812301</v>
      </c>
      <c r="C2170" s="617" t="s">
        <v>3838</v>
      </c>
      <c r="D2170" s="617" t="s">
        <v>73</v>
      </c>
      <c r="E2170" s="617" t="s">
        <v>4859</v>
      </c>
      <c r="F2170" s="617" t="s">
        <v>26</v>
      </c>
      <c r="G2170" s="624"/>
      <c r="O2170" s="616"/>
      <c r="P2170" s="616"/>
      <c r="Q2170" s="616"/>
      <c r="AA2170" s="624"/>
      <c r="AB2170" s="663">
        <v>39113020100</v>
      </c>
      <c r="AC2170" s="663" t="s">
        <v>7102</v>
      </c>
      <c r="AD2170" s="663" t="s">
        <v>4941</v>
      </c>
      <c r="AE2170" s="663" t="s">
        <v>4931</v>
      </c>
      <c r="AF2170" s="663" t="s">
        <v>4946</v>
      </c>
    </row>
    <row r="2171" spans="1:32" s="608" customFormat="1" x14ac:dyDescent="0.25">
      <c r="A2171" s="624"/>
      <c r="B2171" s="617">
        <v>39099812302</v>
      </c>
      <c r="C2171" s="617" t="s">
        <v>3839</v>
      </c>
      <c r="D2171" s="617" t="s">
        <v>73</v>
      </c>
      <c r="E2171" s="617" t="s">
        <v>4859</v>
      </c>
      <c r="F2171" s="617" t="s">
        <v>26</v>
      </c>
      <c r="G2171" s="624"/>
      <c r="O2171" s="616"/>
      <c r="P2171" s="616"/>
      <c r="Q2171" s="616"/>
      <c r="AA2171" s="624"/>
      <c r="AB2171" s="663">
        <v>39113020200</v>
      </c>
      <c r="AC2171" s="663" t="s">
        <v>7103</v>
      </c>
      <c r="AD2171" s="663" t="s">
        <v>4941</v>
      </c>
      <c r="AE2171" s="663" t="s">
        <v>4942</v>
      </c>
      <c r="AF2171" s="663" t="s">
        <v>4946</v>
      </c>
    </row>
    <row r="2172" spans="1:32" s="608" customFormat="1" x14ac:dyDescent="0.25">
      <c r="A2172" s="624"/>
      <c r="B2172" s="617">
        <v>39099812400</v>
      </c>
      <c r="C2172" s="617" t="s">
        <v>3840</v>
      </c>
      <c r="D2172" s="617" t="s">
        <v>73</v>
      </c>
      <c r="E2172" s="617" t="s">
        <v>4859</v>
      </c>
      <c r="F2172" s="617" t="s">
        <v>24</v>
      </c>
      <c r="G2172" s="624"/>
      <c r="O2172" s="616"/>
      <c r="P2172" s="616"/>
      <c r="Q2172" s="616"/>
      <c r="AA2172" s="624"/>
      <c r="AB2172" s="663">
        <v>39113020300</v>
      </c>
      <c r="AC2172" s="663" t="s">
        <v>7104</v>
      </c>
      <c r="AD2172" s="663" t="s">
        <v>4941</v>
      </c>
      <c r="AE2172" s="663" t="s">
        <v>4939</v>
      </c>
      <c r="AF2172" s="663" t="s">
        <v>4946</v>
      </c>
    </row>
    <row r="2173" spans="1:32" s="608" customFormat="1" x14ac:dyDescent="0.25">
      <c r="A2173" s="624"/>
      <c r="B2173" s="617">
        <v>39099812500</v>
      </c>
      <c r="C2173" s="617" t="s">
        <v>3841</v>
      </c>
      <c r="D2173" s="617" t="s">
        <v>73</v>
      </c>
      <c r="E2173" s="617" t="s">
        <v>4859</v>
      </c>
      <c r="F2173" s="617" t="s">
        <v>26</v>
      </c>
      <c r="G2173" s="624"/>
      <c r="O2173" s="616"/>
      <c r="P2173" s="616"/>
      <c r="Q2173" s="616"/>
      <c r="AA2173" s="624"/>
      <c r="AB2173" s="663">
        <v>39113020400</v>
      </c>
      <c r="AC2173" s="663" t="s">
        <v>7105</v>
      </c>
      <c r="AD2173" s="663" t="s">
        <v>4941</v>
      </c>
      <c r="AE2173" s="663" t="s">
        <v>4939</v>
      </c>
      <c r="AF2173" s="663" t="s">
        <v>4946</v>
      </c>
    </row>
    <row r="2174" spans="1:32" s="608" customFormat="1" x14ac:dyDescent="0.25">
      <c r="A2174" s="624"/>
      <c r="B2174" s="617">
        <v>39099812601</v>
      </c>
      <c r="C2174" s="617" t="s">
        <v>3842</v>
      </c>
      <c r="D2174" s="617" t="s">
        <v>73</v>
      </c>
      <c r="E2174" s="617" t="s">
        <v>4859</v>
      </c>
      <c r="F2174" s="617" t="s">
        <v>26</v>
      </c>
      <c r="G2174" s="624"/>
      <c r="O2174" s="616"/>
      <c r="P2174" s="616"/>
      <c r="Q2174" s="616"/>
      <c r="AA2174" s="624"/>
      <c r="AB2174" s="663">
        <v>39113020500</v>
      </c>
      <c r="AC2174" s="663" t="s">
        <v>7106</v>
      </c>
      <c r="AD2174" s="663" t="s">
        <v>4941</v>
      </c>
      <c r="AE2174" s="663" t="s">
        <v>4942</v>
      </c>
      <c r="AF2174" s="663" t="s">
        <v>4946</v>
      </c>
    </row>
    <row r="2175" spans="1:32" s="608" customFormat="1" x14ac:dyDescent="0.25">
      <c r="A2175" s="624"/>
      <c r="B2175" s="617">
        <v>39099812602</v>
      </c>
      <c r="C2175" s="617" t="s">
        <v>3843</v>
      </c>
      <c r="D2175" s="617" t="s">
        <v>73</v>
      </c>
      <c r="E2175" s="617" t="s">
        <v>4859</v>
      </c>
      <c r="F2175" s="617" t="s">
        <v>26</v>
      </c>
      <c r="G2175" s="624"/>
      <c r="O2175" s="616"/>
      <c r="P2175" s="616"/>
      <c r="Q2175" s="616"/>
      <c r="AA2175" s="624"/>
      <c r="AB2175" s="663">
        <v>39113020601</v>
      </c>
      <c r="AC2175" s="663" t="s">
        <v>7107</v>
      </c>
      <c r="AD2175" s="663" t="s">
        <v>4941</v>
      </c>
      <c r="AE2175" s="663" t="s">
        <v>4942</v>
      </c>
      <c r="AF2175" s="663" t="s">
        <v>4946</v>
      </c>
    </row>
    <row r="2176" spans="1:32" s="608" customFormat="1" x14ac:dyDescent="0.25">
      <c r="A2176" s="624"/>
      <c r="B2176" s="617">
        <v>39099812604</v>
      </c>
      <c r="C2176" s="617" t="s">
        <v>3844</v>
      </c>
      <c r="D2176" s="617" t="s">
        <v>73</v>
      </c>
      <c r="E2176" s="617" t="s">
        <v>4859</v>
      </c>
      <c r="F2176" s="617" t="s">
        <v>26</v>
      </c>
      <c r="G2176" s="624"/>
      <c r="O2176" s="616"/>
      <c r="P2176" s="616"/>
      <c r="Q2176" s="616"/>
      <c r="AA2176" s="624"/>
      <c r="AB2176" s="663">
        <v>39113020602</v>
      </c>
      <c r="AC2176" s="663" t="s">
        <v>7108</v>
      </c>
      <c r="AD2176" s="663" t="s">
        <v>4938</v>
      </c>
      <c r="AE2176" s="663" t="s">
        <v>4934</v>
      </c>
      <c r="AF2176" s="663" t="s">
        <v>4946</v>
      </c>
    </row>
    <row r="2177" spans="1:32" s="608" customFormat="1" x14ac:dyDescent="0.25">
      <c r="A2177" s="624"/>
      <c r="B2177" s="617">
        <v>39099812605</v>
      </c>
      <c r="C2177" s="617" t="s">
        <v>3845</v>
      </c>
      <c r="D2177" s="617" t="s">
        <v>73</v>
      </c>
      <c r="E2177" s="617" t="s">
        <v>4859</v>
      </c>
      <c r="F2177" s="617" t="s">
        <v>26</v>
      </c>
      <c r="G2177" s="624"/>
      <c r="O2177" s="616"/>
      <c r="P2177" s="616"/>
      <c r="Q2177" s="616"/>
      <c r="AA2177" s="624"/>
      <c r="AB2177" s="663">
        <v>39113020700</v>
      </c>
      <c r="AC2177" s="663" t="s">
        <v>7109</v>
      </c>
      <c r="AD2177" s="663" t="s">
        <v>4941</v>
      </c>
      <c r="AE2177" s="663" t="s">
        <v>4931</v>
      </c>
      <c r="AF2177" s="663" t="s">
        <v>4946</v>
      </c>
    </row>
    <row r="2178" spans="1:32" s="608" customFormat="1" x14ac:dyDescent="0.25">
      <c r="A2178" s="624"/>
      <c r="B2178" s="617">
        <v>39099812700</v>
      </c>
      <c r="C2178" s="617" t="s">
        <v>3846</v>
      </c>
      <c r="D2178" s="617" t="s">
        <v>73</v>
      </c>
      <c r="E2178" s="617" t="s">
        <v>4859</v>
      </c>
      <c r="F2178" s="617" t="s">
        <v>26</v>
      </c>
      <c r="G2178" s="624"/>
      <c r="O2178" s="616"/>
      <c r="P2178" s="616"/>
      <c r="Q2178" s="616"/>
      <c r="AA2178" s="624"/>
      <c r="AB2178" s="663">
        <v>39113020800</v>
      </c>
      <c r="AC2178" s="663" t="s">
        <v>7110</v>
      </c>
      <c r="AD2178" s="663" t="s">
        <v>4938</v>
      </c>
      <c r="AE2178" s="663" t="s">
        <v>4934</v>
      </c>
      <c r="AF2178" s="663" t="s">
        <v>4946</v>
      </c>
    </row>
    <row r="2179" spans="1:32" s="608" customFormat="1" x14ac:dyDescent="0.25">
      <c r="A2179" s="624"/>
      <c r="B2179" s="617">
        <v>39099812800</v>
      </c>
      <c r="C2179" s="617" t="s">
        <v>3847</v>
      </c>
      <c r="D2179" s="617" t="s">
        <v>73</v>
      </c>
      <c r="E2179" s="617" t="s">
        <v>4859</v>
      </c>
      <c r="F2179" s="617" t="s">
        <v>26</v>
      </c>
      <c r="G2179" s="624"/>
      <c r="O2179" s="616"/>
      <c r="P2179" s="616"/>
      <c r="Q2179" s="616"/>
      <c r="AA2179" s="624"/>
      <c r="AB2179" s="663">
        <v>39113020900</v>
      </c>
      <c r="AC2179" s="663" t="s">
        <v>7111</v>
      </c>
      <c r="AD2179" s="663" t="s">
        <v>4948</v>
      </c>
      <c r="AE2179" s="663" t="s">
        <v>4931</v>
      </c>
      <c r="AF2179" s="663" t="s">
        <v>4946</v>
      </c>
    </row>
    <row r="2180" spans="1:32" s="608" customFormat="1" x14ac:dyDescent="0.25">
      <c r="A2180" s="624"/>
      <c r="B2180" s="617">
        <v>39099812900</v>
      </c>
      <c r="C2180" s="617" t="s">
        <v>3848</v>
      </c>
      <c r="D2180" s="617" t="s">
        <v>73</v>
      </c>
      <c r="E2180" s="617" t="s">
        <v>4859</v>
      </c>
      <c r="F2180" s="617" t="s">
        <v>26</v>
      </c>
      <c r="G2180" s="624"/>
      <c r="O2180" s="616"/>
      <c r="P2180" s="616"/>
      <c r="Q2180" s="616"/>
      <c r="AA2180" s="624"/>
      <c r="AB2180" s="663">
        <v>39113021000</v>
      </c>
      <c r="AC2180" s="663" t="s">
        <v>7112</v>
      </c>
      <c r="AD2180" s="663" t="s">
        <v>4948</v>
      </c>
      <c r="AE2180" s="663" t="s">
        <v>4939</v>
      </c>
      <c r="AF2180" s="663" t="s">
        <v>4946</v>
      </c>
    </row>
    <row r="2181" spans="1:32" s="608" customFormat="1" x14ac:dyDescent="0.25">
      <c r="A2181" s="624"/>
      <c r="B2181" s="617">
        <v>39099813000</v>
      </c>
      <c r="C2181" s="617" t="s">
        <v>3849</v>
      </c>
      <c r="D2181" s="617" t="s">
        <v>73</v>
      </c>
      <c r="E2181" s="617" t="s">
        <v>4859</v>
      </c>
      <c r="F2181" s="617" t="s">
        <v>26</v>
      </c>
      <c r="G2181" s="624"/>
      <c r="O2181" s="616"/>
      <c r="P2181" s="616"/>
      <c r="Q2181" s="616"/>
      <c r="AA2181" s="624"/>
      <c r="AB2181" s="663">
        <v>39113021100</v>
      </c>
      <c r="AC2181" s="663" t="s">
        <v>7113</v>
      </c>
      <c r="AD2181" s="663" t="s">
        <v>4948</v>
      </c>
      <c r="AE2181" s="663" t="s">
        <v>4939</v>
      </c>
      <c r="AF2181" s="663" t="s">
        <v>4946</v>
      </c>
    </row>
    <row r="2182" spans="1:32" s="608" customFormat="1" x14ac:dyDescent="0.25">
      <c r="A2182" s="624"/>
      <c r="B2182" s="617">
        <v>39099813200</v>
      </c>
      <c r="C2182" s="617" t="s">
        <v>3850</v>
      </c>
      <c r="D2182" s="617" t="s">
        <v>73</v>
      </c>
      <c r="E2182" s="617" t="s">
        <v>4859</v>
      </c>
      <c r="F2182" s="617" t="s">
        <v>26</v>
      </c>
      <c r="G2182" s="624"/>
      <c r="O2182" s="616"/>
      <c r="P2182" s="616"/>
      <c r="Q2182" s="616"/>
      <c r="AA2182" s="624"/>
      <c r="AB2182" s="663">
        <v>39113021200</v>
      </c>
      <c r="AC2182" s="663" t="s">
        <v>7114</v>
      </c>
      <c r="AD2182" s="663" t="s">
        <v>4948</v>
      </c>
      <c r="AE2182" s="663" t="s">
        <v>4939</v>
      </c>
      <c r="AF2182" s="663" t="s">
        <v>4946</v>
      </c>
    </row>
    <row r="2183" spans="1:32" s="608" customFormat="1" x14ac:dyDescent="0.25">
      <c r="A2183" s="624"/>
      <c r="B2183" s="617">
        <v>39099813300</v>
      </c>
      <c r="C2183" s="617" t="s">
        <v>3851</v>
      </c>
      <c r="D2183" s="617" t="s">
        <v>73</v>
      </c>
      <c r="E2183" s="617" t="s">
        <v>4859</v>
      </c>
      <c r="F2183" s="617" t="s">
        <v>26</v>
      </c>
      <c r="G2183" s="624"/>
      <c r="O2183" s="616"/>
      <c r="P2183" s="616"/>
      <c r="Q2183" s="616"/>
      <c r="AA2183" s="624"/>
      <c r="AB2183" s="663">
        <v>39113021301</v>
      </c>
      <c r="AC2183" s="663" t="s">
        <v>7115</v>
      </c>
      <c r="AD2183" s="663" t="s">
        <v>4948</v>
      </c>
      <c r="AE2183" s="663" t="s">
        <v>4939</v>
      </c>
      <c r="AF2183" s="663" t="s">
        <v>4946</v>
      </c>
    </row>
    <row r="2184" spans="1:32" s="608" customFormat="1" x14ac:dyDescent="0.25">
      <c r="A2184" s="624"/>
      <c r="B2184" s="617">
        <v>39099813400</v>
      </c>
      <c r="C2184" s="617" t="s">
        <v>3852</v>
      </c>
      <c r="D2184" s="617" t="s">
        <v>73</v>
      </c>
      <c r="E2184" s="617" t="s">
        <v>4859</v>
      </c>
      <c r="F2184" s="617" t="s">
        <v>26</v>
      </c>
      <c r="G2184" s="624"/>
      <c r="O2184" s="616"/>
      <c r="P2184" s="616"/>
      <c r="Q2184" s="616"/>
      <c r="AA2184" s="624"/>
      <c r="AB2184" s="663">
        <v>39113021302</v>
      </c>
      <c r="AC2184" s="663" t="s">
        <v>7116</v>
      </c>
      <c r="AD2184" s="663" t="s">
        <v>4941</v>
      </c>
      <c r="AE2184" s="663" t="s">
        <v>4939</v>
      </c>
      <c r="AF2184" s="663" t="s">
        <v>4946</v>
      </c>
    </row>
    <row r="2185" spans="1:32" s="608" customFormat="1" x14ac:dyDescent="0.25">
      <c r="A2185" s="624"/>
      <c r="B2185" s="617">
        <v>39099813501</v>
      </c>
      <c r="C2185" s="617" t="s">
        <v>3853</v>
      </c>
      <c r="D2185" s="617" t="s">
        <v>73</v>
      </c>
      <c r="E2185" s="617" t="s">
        <v>4859</v>
      </c>
      <c r="F2185" s="617" t="s">
        <v>26</v>
      </c>
      <c r="G2185" s="624"/>
      <c r="O2185" s="616"/>
      <c r="P2185" s="616"/>
      <c r="Q2185" s="616"/>
      <c r="AA2185" s="624"/>
      <c r="AB2185" s="663">
        <v>39113021400</v>
      </c>
      <c r="AC2185" s="663" t="s">
        <v>7117</v>
      </c>
      <c r="AD2185" s="663" t="s">
        <v>4941</v>
      </c>
      <c r="AE2185" s="663" t="s">
        <v>4939</v>
      </c>
      <c r="AF2185" s="663" t="s">
        <v>4946</v>
      </c>
    </row>
    <row r="2186" spans="1:32" s="608" customFormat="1" x14ac:dyDescent="0.25">
      <c r="A2186" s="624"/>
      <c r="B2186" s="617">
        <v>39099813502</v>
      </c>
      <c r="C2186" s="617" t="s">
        <v>3854</v>
      </c>
      <c r="D2186" s="617" t="s">
        <v>73</v>
      </c>
      <c r="E2186" s="617" t="s">
        <v>4859</v>
      </c>
      <c r="F2186" s="617" t="s">
        <v>26</v>
      </c>
      <c r="G2186" s="624"/>
      <c r="O2186" s="616"/>
      <c r="P2186" s="616"/>
      <c r="Q2186" s="616"/>
      <c r="AA2186" s="624"/>
      <c r="AB2186" s="663">
        <v>39113021501</v>
      </c>
      <c r="AC2186" s="663" t="s">
        <v>7118</v>
      </c>
      <c r="AD2186" s="663" t="s">
        <v>4948</v>
      </c>
      <c r="AE2186" s="663" t="s">
        <v>4931</v>
      </c>
      <c r="AF2186" s="663" t="s">
        <v>4946</v>
      </c>
    </row>
    <row r="2187" spans="1:32" s="608" customFormat="1" x14ac:dyDescent="0.25">
      <c r="A2187" s="624"/>
      <c r="B2187" s="617">
        <v>39099813601</v>
      </c>
      <c r="C2187" s="617" t="s">
        <v>3855</v>
      </c>
      <c r="D2187" s="617" t="s">
        <v>73</v>
      </c>
      <c r="E2187" s="617" t="s">
        <v>4859</v>
      </c>
      <c r="F2187" s="617" t="s">
        <v>26</v>
      </c>
      <c r="G2187" s="624"/>
      <c r="O2187" s="616"/>
      <c r="P2187" s="616"/>
      <c r="Q2187" s="616"/>
      <c r="AA2187" s="624"/>
      <c r="AB2187" s="663">
        <v>39113021502</v>
      </c>
      <c r="AC2187" s="663" t="s">
        <v>7119</v>
      </c>
      <c r="AD2187" s="663" t="s">
        <v>4948</v>
      </c>
      <c r="AE2187" s="663" t="s">
        <v>4934</v>
      </c>
      <c r="AF2187" s="663" t="s">
        <v>4946</v>
      </c>
    </row>
    <row r="2188" spans="1:32" s="608" customFormat="1" x14ac:dyDescent="0.25">
      <c r="A2188" s="624"/>
      <c r="B2188" s="617">
        <v>39099813602</v>
      </c>
      <c r="C2188" s="617" t="s">
        <v>3856</v>
      </c>
      <c r="D2188" s="617" t="s">
        <v>73</v>
      </c>
      <c r="E2188" s="617" t="s">
        <v>4859</v>
      </c>
      <c r="F2188" s="617" t="s">
        <v>26</v>
      </c>
      <c r="G2188" s="624"/>
      <c r="O2188" s="616"/>
      <c r="P2188" s="616"/>
      <c r="Q2188" s="616"/>
      <c r="AA2188" s="624"/>
      <c r="AB2188" s="663">
        <v>39113021601</v>
      </c>
      <c r="AC2188" s="663" t="s">
        <v>7120</v>
      </c>
      <c r="AD2188" s="663" t="s">
        <v>4941</v>
      </c>
      <c r="AE2188" s="663" t="s">
        <v>4928</v>
      </c>
      <c r="AF2188" s="663" t="s">
        <v>4946</v>
      </c>
    </row>
    <row r="2189" spans="1:32" s="608" customFormat="1" x14ac:dyDescent="0.25">
      <c r="A2189" s="624"/>
      <c r="B2189" s="617">
        <v>39099813700</v>
      </c>
      <c r="C2189" s="617" t="s">
        <v>3857</v>
      </c>
      <c r="D2189" s="617" t="s">
        <v>73</v>
      </c>
      <c r="E2189" s="617" t="s">
        <v>4859</v>
      </c>
      <c r="F2189" s="617" t="s">
        <v>24</v>
      </c>
      <c r="G2189" s="624"/>
      <c r="O2189" s="616"/>
      <c r="P2189" s="616"/>
      <c r="Q2189" s="616"/>
      <c r="AA2189" s="624"/>
      <c r="AB2189" s="663">
        <v>39113021602</v>
      </c>
      <c r="AC2189" s="663" t="s">
        <v>7121</v>
      </c>
      <c r="AD2189" s="663" t="s">
        <v>4941</v>
      </c>
      <c r="AE2189" s="663" t="s">
        <v>4931</v>
      </c>
      <c r="AF2189" s="663" t="s">
        <v>4946</v>
      </c>
    </row>
    <row r="2190" spans="1:32" s="608" customFormat="1" x14ac:dyDescent="0.25">
      <c r="A2190" s="624"/>
      <c r="B2190" s="617">
        <v>39099813800</v>
      </c>
      <c r="C2190" s="617" t="s">
        <v>3858</v>
      </c>
      <c r="D2190" s="617" t="s">
        <v>73</v>
      </c>
      <c r="E2190" s="617" t="s">
        <v>4859</v>
      </c>
      <c r="F2190" s="617" t="s">
        <v>24</v>
      </c>
      <c r="G2190" s="624"/>
      <c r="O2190" s="616"/>
      <c r="P2190" s="616"/>
      <c r="Q2190" s="616"/>
      <c r="AA2190" s="624"/>
      <c r="AB2190" s="663">
        <v>39113021700</v>
      </c>
      <c r="AC2190" s="663" t="s">
        <v>7122</v>
      </c>
      <c r="AD2190" s="663" t="s">
        <v>4941</v>
      </c>
      <c r="AE2190" s="663" t="s">
        <v>4934</v>
      </c>
      <c r="AF2190" s="663" t="s">
        <v>4946</v>
      </c>
    </row>
    <row r="2191" spans="1:32" s="608" customFormat="1" x14ac:dyDescent="0.25">
      <c r="A2191" s="624"/>
      <c r="B2191" s="617">
        <v>39099813900</v>
      </c>
      <c r="C2191" s="617" t="s">
        <v>3859</v>
      </c>
      <c r="D2191" s="617" t="s">
        <v>73</v>
      </c>
      <c r="E2191" s="617" t="s">
        <v>4859</v>
      </c>
      <c r="F2191" s="617" t="s">
        <v>24</v>
      </c>
      <c r="G2191" s="624"/>
      <c r="O2191" s="616"/>
      <c r="P2191" s="616"/>
      <c r="Q2191" s="616"/>
      <c r="AA2191" s="624"/>
      <c r="AB2191" s="663">
        <v>39113021800</v>
      </c>
      <c r="AC2191" s="663" t="s">
        <v>7123</v>
      </c>
      <c r="AD2191" s="663" t="s">
        <v>4941</v>
      </c>
      <c r="AE2191" s="663" t="s">
        <v>4931</v>
      </c>
      <c r="AF2191" s="663" t="s">
        <v>4946</v>
      </c>
    </row>
    <row r="2192" spans="1:32" s="608" customFormat="1" x14ac:dyDescent="0.25">
      <c r="A2192" s="624"/>
      <c r="B2192" s="617">
        <v>39099814000</v>
      </c>
      <c r="C2192" s="617" t="s">
        <v>3860</v>
      </c>
      <c r="D2192" s="617" t="s">
        <v>73</v>
      </c>
      <c r="E2192" s="617" t="s">
        <v>4859</v>
      </c>
      <c r="F2192" s="617" t="s">
        <v>24</v>
      </c>
      <c r="G2192" s="624"/>
      <c r="O2192" s="616"/>
      <c r="P2192" s="616"/>
      <c r="Q2192" s="616"/>
      <c r="AA2192" s="624"/>
      <c r="AB2192" s="663">
        <v>39113021900</v>
      </c>
      <c r="AC2192" s="663" t="s">
        <v>7124</v>
      </c>
      <c r="AD2192" s="663" t="s">
        <v>4941</v>
      </c>
      <c r="AE2192" s="663" t="s">
        <v>4942</v>
      </c>
      <c r="AF2192" s="663" t="s">
        <v>4946</v>
      </c>
    </row>
    <row r="2193" spans="1:32" s="608" customFormat="1" x14ac:dyDescent="0.25">
      <c r="A2193" s="624"/>
      <c r="B2193" s="617">
        <v>39099814100</v>
      </c>
      <c r="C2193" s="617" t="s">
        <v>3861</v>
      </c>
      <c r="D2193" s="617" t="s">
        <v>73</v>
      </c>
      <c r="E2193" s="617" t="s">
        <v>4859</v>
      </c>
      <c r="F2193" s="617" t="s">
        <v>24</v>
      </c>
      <c r="G2193" s="624"/>
      <c r="O2193" s="616"/>
      <c r="P2193" s="616"/>
      <c r="Q2193" s="616"/>
      <c r="AA2193" s="624"/>
      <c r="AB2193" s="663">
        <v>39113030100</v>
      </c>
      <c r="AC2193" s="663" t="s">
        <v>7125</v>
      </c>
      <c r="AD2193" s="663" t="s">
        <v>4950</v>
      </c>
      <c r="AE2193" s="663" t="s">
        <v>4939</v>
      </c>
      <c r="AF2193" s="663" t="s">
        <v>4946</v>
      </c>
    </row>
    <row r="2194" spans="1:32" s="608" customFormat="1" x14ac:dyDescent="0.25">
      <c r="A2194" s="624"/>
      <c r="B2194" s="617">
        <v>39099814200</v>
      </c>
      <c r="C2194" s="617" t="s">
        <v>3862</v>
      </c>
      <c r="D2194" s="617" t="s">
        <v>73</v>
      </c>
      <c r="E2194" s="617" t="s">
        <v>4859</v>
      </c>
      <c r="F2194" s="617" t="s">
        <v>26</v>
      </c>
      <c r="G2194" s="624"/>
      <c r="O2194" s="616"/>
      <c r="P2194" s="616"/>
      <c r="Q2194" s="616"/>
      <c r="AA2194" s="624"/>
      <c r="AB2194" s="663">
        <v>39113030200</v>
      </c>
      <c r="AC2194" s="663" t="s">
        <v>7126</v>
      </c>
      <c r="AD2194" s="663" t="s">
        <v>4927</v>
      </c>
      <c r="AE2194" s="663" t="s">
        <v>4942</v>
      </c>
      <c r="AF2194" s="663" t="s">
        <v>4946</v>
      </c>
    </row>
    <row r="2195" spans="1:32" s="608" customFormat="1" x14ac:dyDescent="0.25">
      <c r="A2195" s="624"/>
      <c r="B2195" s="617">
        <v>39101000100</v>
      </c>
      <c r="C2195" s="617" t="s">
        <v>3863</v>
      </c>
      <c r="D2195" s="617" t="s">
        <v>74</v>
      </c>
      <c r="E2195" s="617" t="s">
        <v>1672</v>
      </c>
      <c r="F2195" s="617" t="s">
        <v>24</v>
      </c>
      <c r="G2195" s="624"/>
      <c r="O2195" s="616"/>
      <c r="P2195" s="616"/>
      <c r="Q2195" s="616"/>
      <c r="AA2195" s="624"/>
      <c r="AB2195" s="663">
        <v>39113040101</v>
      </c>
      <c r="AC2195" s="663" t="s">
        <v>7127</v>
      </c>
      <c r="AD2195" s="663" t="s">
        <v>4938</v>
      </c>
      <c r="AE2195" s="663" t="s">
        <v>4934</v>
      </c>
      <c r="AF2195" s="663" t="s">
        <v>4946</v>
      </c>
    </row>
    <row r="2196" spans="1:32" s="608" customFormat="1" x14ac:dyDescent="0.25">
      <c r="A2196" s="624"/>
      <c r="B2196" s="617">
        <v>39101000200</v>
      </c>
      <c r="C2196" s="617" t="s">
        <v>3864</v>
      </c>
      <c r="D2196" s="617" t="s">
        <v>74</v>
      </c>
      <c r="E2196" s="617" t="s">
        <v>1672</v>
      </c>
      <c r="F2196" s="617" t="s">
        <v>24</v>
      </c>
      <c r="G2196" s="624"/>
      <c r="O2196" s="616"/>
      <c r="P2196" s="616"/>
      <c r="Q2196" s="616"/>
      <c r="AA2196" s="624"/>
      <c r="AB2196" s="663">
        <v>39113040102</v>
      </c>
      <c r="AC2196" s="663" t="s">
        <v>7128</v>
      </c>
      <c r="AD2196" s="663" t="s">
        <v>4938</v>
      </c>
      <c r="AE2196" s="663" t="s">
        <v>4931</v>
      </c>
      <c r="AF2196" s="663" t="s">
        <v>4946</v>
      </c>
    </row>
    <row r="2197" spans="1:32" s="608" customFormat="1" x14ac:dyDescent="0.25">
      <c r="A2197" s="624"/>
      <c r="B2197" s="617">
        <v>39101000300</v>
      </c>
      <c r="C2197" s="617" t="s">
        <v>3865</v>
      </c>
      <c r="D2197" s="617" t="s">
        <v>74</v>
      </c>
      <c r="E2197" s="617" t="s">
        <v>1672</v>
      </c>
      <c r="F2197" s="617" t="s">
        <v>24</v>
      </c>
      <c r="G2197" s="624"/>
      <c r="O2197" s="616"/>
      <c r="P2197" s="616"/>
      <c r="Q2197" s="616"/>
      <c r="AA2197" s="624"/>
      <c r="AB2197" s="663">
        <v>39113040103</v>
      </c>
      <c r="AC2197" s="663" t="s">
        <v>7129</v>
      </c>
      <c r="AD2197" s="663" t="s">
        <v>4938</v>
      </c>
      <c r="AE2197" s="663" t="s">
        <v>4942</v>
      </c>
      <c r="AF2197" s="663" t="s">
        <v>4946</v>
      </c>
    </row>
    <row r="2198" spans="1:32" s="608" customFormat="1" x14ac:dyDescent="0.25">
      <c r="A2198" s="624"/>
      <c r="B2198" s="617">
        <v>39101000400</v>
      </c>
      <c r="C2198" s="617" t="s">
        <v>3866</v>
      </c>
      <c r="D2198" s="617" t="s">
        <v>74</v>
      </c>
      <c r="E2198" s="617" t="s">
        <v>1672</v>
      </c>
      <c r="F2198" s="617" t="s">
        <v>26</v>
      </c>
      <c r="G2198" s="624"/>
      <c r="O2198" s="616"/>
      <c r="P2198" s="616"/>
      <c r="Q2198" s="616"/>
      <c r="AA2198" s="624"/>
      <c r="AB2198" s="663">
        <v>39113040201</v>
      </c>
      <c r="AC2198" s="663" t="s">
        <v>7130</v>
      </c>
      <c r="AD2198" s="663" t="s">
        <v>4938</v>
      </c>
      <c r="AE2198" s="663" t="s">
        <v>4931</v>
      </c>
      <c r="AF2198" s="663" t="s">
        <v>4946</v>
      </c>
    </row>
    <row r="2199" spans="1:32" s="608" customFormat="1" x14ac:dyDescent="0.25">
      <c r="A2199" s="624"/>
      <c r="B2199" s="617">
        <v>39101000501</v>
      </c>
      <c r="C2199" s="617" t="s">
        <v>3867</v>
      </c>
      <c r="D2199" s="617" t="s">
        <v>74</v>
      </c>
      <c r="E2199" s="617" t="s">
        <v>1672</v>
      </c>
      <c r="F2199" s="617" t="s">
        <v>26</v>
      </c>
      <c r="G2199" s="624"/>
      <c r="O2199" s="616"/>
      <c r="P2199" s="616"/>
      <c r="Q2199" s="616"/>
      <c r="AA2199" s="624"/>
      <c r="AB2199" s="663">
        <v>39113040203</v>
      </c>
      <c r="AC2199" s="663" t="s">
        <v>7131</v>
      </c>
      <c r="AD2199" s="663" t="s">
        <v>4938</v>
      </c>
      <c r="AE2199" s="663" t="s">
        <v>4934</v>
      </c>
      <c r="AF2199" s="663" t="s">
        <v>4946</v>
      </c>
    </row>
    <row r="2200" spans="1:32" s="608" customFormat="1" x14ac:dyDescent="0.25">
      <c r="A2200" s="624"/>
      <c r="B2200" s="617">
        <v>39101000502</v>
      </c>
      <c r="C2200" s="617" t="s">
        <v>3868</v>
      </c>
      <c r="D2200" s="617" t="s">
        <v>74</v>
      </c>
      <c r="E2200" s="617" t="s">
        <v>1672</v>
      </c>
      <c r="F2200" s="617" t="s">
        <v>26</v>
      </c>
      <c r="G2200" s="624"/>
      <c r="O2200" s="616"/>
      <c r="P2200" s="616"/>
      <c r="Q2200" s="616"/>
      <c r="AA2200" s="624"/>
      <c r="AB2200" s="663">
        <v>39113040204</v>
      </c>
      <c r="AC2200" s="663" t="s">
        <v>7132</v>
      </c>
      <c r="AD2200" s="663" t="s">
        <v>4938</v>
      </c>
      <c r="AE2200" s="663" t="s">
        <v>4939</v>
      </c>
      <c r="AF2200" s="663" t="s">
        <v>4946</v>
      </c>
    </row>
    <row r="2201" spans="1:32" s="608" customFormat="1" x14ac:dyDescent="0.25">
      <c r="A2201" s="624"/>
      <c r="B2201" s="617">
        <v>39101000600</v>
      </c>
      <c r="C2201" s="617" t="s">
        <v>3869</v>
      </c>
      <c r="D2201" s="617" t="s">
        <v>74</v>
      </c>
      <c r="E2201" s="617" t="s">
        <v>1672</v>
      </c>
      <c r="F2201" s="617" t="s">
        <v>26</v>
      </c>
      <c r="G2201" s="624"/>
      <c r="O2201" s="616"/>
      <c r="P2201" s="616"/>
      <c r="Q2201" s="616"/>
      <c r="AA2201" s="624"/>
      <c r="AB2201" s="663">
        <v>39113040302</v>
      </c>
      <c r="AC2201" s="663" t="s">
        <v>7133</v>
      </c>
      <c r="AD2201" s="663" t="s">
        <v>4938</v>
      </c>
      <c r="AE2201" s="663" t="s">
        <v>4939</v>
      </c>
      <c r="AF2201" s="663" t="s">
        <v>4946</v>
      </c>
    </row>
    <row r="2202" spans="1:32" s="608" customFormat="1" x14ac:dyDescent="0.25">
      <c r="A2202" s="624"/>
      <c r="B2202" s="617">
        <v>39101000700</v>
      </c>
      <c r="C2202" s="617" t="s">
        <v>3870</v>
      </c>
      <c r="D2202" s="617" t="s">
        <v>74</v>
      </c>
      <c r="E2202" s="617" t="s">
        <v>1672</v>
      </c>
      <c r="F2202" s="617" t="s">
        <v>26</v>
      </c>
      <c r="G2202" s="624"/>
      <c r="O2202" s="616"/>
      <c r="P2202" s="616"/>
      <c r="Q2202" s="616"/>
      <c r="AA2202" s="624"/>
      <c r="AB2202" s="663">
        <v>39113040303</v>
      </c>
      <c r="AC2202" s="663" t="s">
        <v>7134</v>
      </c>
      <c r="AD2202" s="663" t="s">
        <v>4938</v>
      </c>
      <c r="AE2202" s="663" t="s">
        <v>4931</v>
      </c>
      <c r="AF2202" s="663" t="s">
        <v>4946</v>
      </c>
    </row>
    <row r="2203" spans="1:32" s="608" customFormat="1" x14ac:dyDescent="0.25">
      <c r="A2203" s="624"/>
      <c r="B2203" s="617">
        <v>39101000800</v>
      </c>
      <c r="C2203" s="617" t="s">
        <v>3871</v>
      </c>
      <c r="D2203" s="617" t="s">
        <v>74</v>
      </c>
      <c r="E2203" s="617" t="s">
        <v>1672</v>
      </c>
      <c r="F2203" s="617" t="s">
        <v>26</v>
      </c>
      <c r="G2203" s="624"/>
      <c r="O2203" s="616"/>
      <c r="P2203" s="616"/>
      <c r="Q2203" s="616"/>
      <c r="AA2203" s="624"/>
      <c r="AB2203" s="663">
        <v>39113040305</v>
      </c>
      <c r="AC2203" s="663" t="s">
        <v>7135</v>
      </c>
      <c r="AD2203" s="663" t="s">
        <v>4938</v>
      </c>
      <c r="AE2203" s="663" t="s">
        <v>4931</v>
      </c>
      <c r="AF2203" s="663" t="s">
        <v>4946</v>
      </c>
    </row>
    <row r="2204" spans="1:32" s="608" customFormat="1" x14ac:dyDescent="0.25">
      <c r="A2204" s="624"/>
      <c r="B2204" s="617">
        <v>39101000900</v>
      </c>
      <c r="C2204" s="617" t="s">
        <v>3872</v>
      </c>
      <c r="D2204" s="617" t="s">
        <v>74</v>
      </c>
      <c r="E2204" s="617" t="s">
        <v>1672</v>
      </c>
      <c r="F2204" s="617" t="s">
        <v>24</v>
      </c>
      <c r="G2204" s="624"/>
      <c r="O2204" s="616"/>
      <c r="P2204" s="616"/>
      <c r="Q2204" s="616"/>
      <c r="AA2204" s="624"/>
      <c r="AB2204" s="663">
        <v>39113040306</v>
      </c>
      <c r="AC2204" s="663" t="s">
        <v>7136</v>
      </c>
      <c r="AD2204" s="663" t="s">
        <v>4941</v>
      </c>
      <c r="AE2204" s="663" t="s">
        <v>4934</v>
      </c>
      <c r="AF2204" s="663" t="s">
        <v>4946</v>
      </c>
    </row>
    <row r="2205" spans="1:32" s="608" customFormat="1" x14ac:dyDescent="0.25">
      <c r="A2205" s="624"/>
      <c r="B2205" s="617">
        <v>39101001000</v>
      </c>
      <c r="C2205" s="617" t="s">
        <v>3873</v>
      </c>
      <c r="D2205" s="617" t="s">
        <v>74</v>
      </c>
      <c r="E2205" s="617" t="s">
        <v>1672</v>
      </c>
      <c r="F2205" s="617" t="s">
        <v>26</v>
      </c>
      <c r="G2205" s="624"/>
      <c r="O2205" s="616"/>
      <c r="P2205" s="616"/>
      <c r="Q2205" s="616"/>
      <c r="AA2205" s="624"/>
      <c r="AB2205" s="663">
        <v>39113040401</v>
      </c>
      <c r="AC2205" s="663" t="s">
        <v>7137</v>
      </c>
      <c r="AD2205" s="663" t="s">
        <v>4938</v>
      </c>
      <c r="AE2205" s="663" t="s">
        <v>4942</v>
      </c>
      <c r="AF2205" s="663" t="s">
        <v>4946</v>
      </c>
    </row>
    <row r="2206" spans="1:32" s="608" customFormat="1" x14ac:dyDescent="0.25">
      <c r="A2206" s="624"/>
      <c r="B2206" s="617">
        <v>39101001100</v>
      </c>
      <c r="C2206" s="617" t="s">
        <v>3874</v>
      </c>
      <c r="D2206" s="617" t="s">
        <v>74</v>
      </c>
      <c r="E2206" s="617" t="s">
        <v>1672</v>
      </c>
      <c r="F2206" s="617" t="s">
        <v>26</v>
      </c>
      <c r="G2206" s="624"/>
      <c r="O2206" s="616"/>
      <c r="P2206" s="616"/>
      <c r="Q2206" s="616"/>
      <c r="AA2206" s="624"/>
      <c r="AB2206" s="663">
        <v>39113040403</v>
      </c>
      <c r="AC2206" s="663" t="s">
        <v>7138</v>
      </c>
      <c r="AD2206" s="663" t="s">
        <v>4938</v>
      </c>
      <c r="AE2206" s="663" t="s">
        <v>4939</v>
      </c>
      <c r="AF2206" s="663" t="s">
        <v>4946</v>
      </c>
    </row>
    <row r="2207" spans="1:32" s="608" customFormat="1" x14ac:dyDescent="0.25">
      <c r="A2207" s="624"/>
      <c r="B2207" s="617">
        <v>39101010100</v>
      </c>
      <c r="C2207" s="617" t="s">
        <v>3875</v>
      </c>
      <c r="D2207" s="617" t="s">
        <v>74</v>
      </c>
      <c r="E2207" s="617" t="s">
        <v>1672</v>
      </c>
      <c r="F2207" s="617" t="s">
        <v>26</v>
      </c>
      <c r="G2207" s="624"/>
      <c r="O2207" s="616"/>
      <c r="P2207" s="616"/>
      <c r="Q2207" s="616"/>
      <c r="AA2207" s="624"/>
      <c r="AB2207" s="663">
        <v>39113040405</v>
      </c>
      <c r="AC2207" s="663" t="s">
        <v>7139</v>
      </c>
      <c r="AD2207" s="663" t="s">
        <v>4938</v>
      </c>
      <c r="AE2207" s="663" t="s">
        <v>4942</v>
      </c>
      <c r="AF2207" s="663" t="s">
        <v>4946</v>
      </c>
    </row>
    <row r="2208" spans="1:32" s="608" customFormat="1" x14ac:dyDescent="0.25">
      <c r="A2208" s="624"/>
      <c r="B2208" s="617">
        <v>39101010201</v>
      </c>
      <c r="C2208" s="617" t="s">
        <v>3876</v>
      </c>
      <c r="D2208" s="617" t="s">
        <v>74</v>
      </c>
      <c r="E2208" s="617" t="s">
        <v>1672</v>
      </c>
      <c r="F2208" s="617" t="s">
        <v>26</v>
      </c>
      <c r="G2208" s="624"/>
      <c r="O2208" s="616"/>
      <c r="P2208" s="616"/>
      <c r="Q2208" s="616"/>
      <c r="AA2208" s="624"/>
      <c r="AB2208" s="663">
        <v>39113040406</v>
      </c>
      <c r="AC2208" s="663" t="s">
        <v>7140</v>
      </c>
      <c r="AD2208" s="663" t="s">
        <v>4938</v>
      </c>
      <c r="AE2208" s="663" t="s">
        <v>4942</v>
      </c>
      <c r="AF2208" s="663" t="s">
        <v>4946</v>
      </c>
    </row>
    <row r="2209" spans="1:32" s="608" customFormat="1" x14ac:dyDescent="0.25">
      <c r="A2209" s="624"/>
      <c r="B2209" s="617">
        <v>39101010202</v>
      </c>
      <c r="C2209" s="617" t="s">
        <v>3877</v>
      </c>
      <c r="D2209" s="617" t="s">
        <v>74</v>
      </c>
      <c r="E2209" s="617" t="s">
        <v>1672</v>
      </c>
      <c r="F2209" s="617" t="s">
        <v>26</v>
      </c>
      <c r="G2209" s="624"/>
      <c r="O2209" s="616"/>
      <c r="P2209" s="616"/>
      <c r="Q2209" s="616"/>
      <c r="AA2209" s="624"/>
      <c r="AB2209" s="663">
        <v>39113050101</v>
      </c>
      <c r="AC2209" s="663" t="s">
        <v>7141</v>
      </c>
      <c r="AD2209" s="663" t="s">
        <v>4950</v>
      </c>
      <c r="AE2209" s="663" t="s">
        <v>4934</v>
      </c>
      <c r="AF2209" s="663" t="s">
        <v>4946</v>
      </c>
    </row>
    <row r="2210" spans="1:32" s="608" customFormat="1" x14ac:dyDescent="0.25">
      <c r="A2210" s="624"/>
      <c r="B2210" s="617">
        <v>39101010300</v>
      </c>
      <c r="C2210" s="617" t="s">
        <v>3878</v>
      </c>
      <c r="D2210" s="617" t="s">
        <v>74</v>
      </c>
      <c r="E2210" s="617" t="s">
        <v>1672</v>
      </c>
      <c r="F2210" s="617" t="s">
        <v>26</v>
      </c>
      <c r="G2210" s="624"/>
      <c r="O2210" s="616"/>
      <c r="P2210" s="616"/>
      <c r="Q2210" s="616"/>
      <c r="AA2210" s="624"/>
      <c r="AB2210" s="663">
        <v>39113050103</v>
      </c>
      <c r="AC2210" s="663" t="s">
        <v>7142</v>
      </c>
      <c r="AD2210" s="663" t="s">
        <v>4941</v>
      </c>
      <c r="AE2210" s="663" t="s">
        <v>4931</v>
      </c>
      <c r="AF2210" s="663" t="s">
        <v>4946</v>
      </c>
    </row>
    <row r="2211" spans="1:32" s="608" customFormat="1" x14ac:dyDescent="0.25">
      <c r="A2211" s="624"/>
      <c r="B2211" s="617">
        <v>39101010400</v>
      </c>
      <c r="C2211" s="617" t="s">
        <v>3879</v>
      </c>
      <c r="D2211" s="617" t="s">
        <v>74</v>
      </c>
      <c r="E2211" s="617" t="s">
        <v>1672</v>
      </c>
      <c r="F2211" s="617" t="s">
        <v>26</v>
      </c>
      <c r="G2211" s="624"/>
      <c r="O2211" s="616"/>
      <c r="P2211" s="616"/>
      <c r="Q2211" s="616"/>
      <c r="AA2211" s="624"/>
      <c r="AB2211" s="663">
        <v>39113050104</v>
      </c>
      <c r="AC2211" s="663" t="s">
        <v>7143</v>
      </c>
      <c r="AD2211" s="663" t="s">
        <v>4941</v>
      </c>
      <c r="AE2211" s="663" t="s">
        <v>4939</v>
      </c>
      <c r="AF2211" s="663" t="s">
        <v>4946</v>
      </c>
    </row>
    <row r="2212" spans="1:32" s="608" customFormat="1" x14ac:dyDescent="0.25">
      <c r="A2212" s="624"/>
      <c r="B2212" s="617">
        <v>39101010500</v>
      </c>
      <c r="C2212" s="617" t="s">
        <v>3880</v>
      </c>
      <c r="D2212" s="617" t="s">
        <v>74</v>
      </c>
      <c r="E2212" s="617" t="s">
        <v>1672</v>
      </c>
      <c r="F2212" s="617" t="s">
        <v>26</v>
      </c>
      <c r="G2212" s="624"/>
      <c r="O2212" s="616"/>
      <c r="P2212" s="616"/>
      <c r="Q2212" s="616"/>
      <c r="AA2212" s="624"/>
      <c r="AB2212" s="663">
        <v>39113050105</v>
      </c>
      <c r="AC2212" s="663" t="s">
        <v>7144</v>
      </c>
      <c r="AD2212" s="663" t="s">
        <v>4941</v>
      </c>
      <c r="AE2212" s="663" t="s">
        <v>4934</v>
      </c>
      <c r="AF2212" s="663" t="s">
        <v>4946</v>
      </c>
    </row>
    <row r="2213" spans="1:32" s="608" customFormat="1" x14ac:dyDescent="0.25">
      <c r="A2213" s="624"/>
      <c r="B2213" s="617">
        <v>39103400100</v>
      </c>
      <c r="C2213" s="617" t="s">
        <v>3881</v>
      </c>
      <c r="D2213" s="617" t="s">
        <v>75</v>
      </c>
      <c r="E2213" s="617" t="s">
        <v>4853</v>
      </c>
      <c r="F2213" s="617" t="s">
        <v>26</v>
      </c>
      <c r="G2213" s="624"/>
      <c r="O2213" s="616"/>
      <c r="P2213" s="616"/>
      <c r="Q2213" s="616"/>
      <c r="AA2213" s="624"/>
      <c r="AB2213" s="663">
        <v>39113050301</v>
      </c>
      <c r="AC2213" s="663" t="s">
        <v>7145</v>
      </c>
      <c r="AD2213" s="663" t="s">
        <v>4927</v>
      </c>
      <c r="AE2213" s="663" t="s">
        <v>4931</v>
      </c>
      <c r="AF2213" s="663" t="s">
        <v>4946</v>
      </c>
    </row>
    <row r="2214" spans="1:32" s="608" customFormat="1" x14ac:dyDescent="0.25">
      <c r="A2214" s="624"/>
      <c r="B2214" s="617">
        <v>39103402000</v>
      </c>
      <c r="C2214" s="617" t="s">
        <v>3882</v>
      </c>
      <c r="D2214" s="617" t="s">
        <v>75</v>
      </c>
      <c r="E2214" s="617" t="s">
        <v>4853</v>
      </c>
      <c r="F2214" s="617" t="s">
        <v>26</v>
      </c>
      <c r="G2214" s="624"/>
      <c r="O2214" s="616"/>
      <c r="P2214" s="616"/>
      <c r="Q2214" s="616"/>
      <c r="AA2214" s="624"/>
      <c r="AB2214" s="663">
        <v>39113050302</v>
      </c>
      <c r="AC2214" s="663" t="s">
        <v>7146</v>
      </c>
      <c r="AD2214" s="663" t="s">
        <v>4950</v>
      </c>
      <c r="AE2214" s="663" t="s">
        <v>4934</v>
      </c>
      <c r="AF2214" s="663" t="s">
        <v>4946</v>
      </c>
    </row>
    <row r="2215" spans="1:32" s="608" customFormat="1" x14ac:dyDescent="0.25">
      <c r="A2215" s="624"/>
      <c r="B2215" s="617">
        <v>39103403001</v>
      </c>
      <c r="C2215" s="617" t="s">
        <v>3883</v>
      </c>
      <c r="D2215" s="617" t="s">
        <v>75</v>
      </c>
      <c r="E2215" s="617" t="s">
        <v>4853</v>
      </c>
      <c r="F2215" s="617" t="s">
        <v>26</v>
      </c>
      <c r="G2215" s="624"/>
      <c r="O2215" s="616"/>
      <c r="P2215" s="616"/>
      <c r="Q2215" s="616"/>
      <c r="AA2215" s="624"/>
      <c r="AB2215" s="663">
        <v>39113050303</v>
      </c>
      <c r="AC2215" s="663" t="s">
        <v>7147</v>
      </c>
      <c r="AD2215" s="663" t="s">
        <v>4950</v>
      </c>
      <c r="AE2215" s="663" t="s">
        <v>4931</v>
      </c>
      <c r="AF2215" s="663" t="s">
        <v>4946</v>
      </c>
    </row>
    <row r="2216" spans="1:32" s="608" customFormat="1" x14ac:dyDescent="0.25">
      <c r="A2216" s="624"/>
      <c r="B2216" s="617">
        <v>39103403002</v>
      </c>
      <c r="C2216" s="617" t="s">
        <v>3884</v>
      </c>
      <c r="D2216" s="617" t="s">
        <v>75</v>
      </c>
      <c r="E2216" s="617" t="s">
        <v>4853</v>
      </c>
      <c r="F2216" s="617" t="s">
        <v>26</v>
      </c>
      <c r="G2216" s="624"/>
      <c r="O2216" s="616"/>
      <c r="P2216" s="616"/>
      <c r="Q2216" s="616"/>
      <c r="AA2216" s="624"/>
      <c r="AB2216" s="663">
        <v>39113050401</v>
      </c>
      <c r="AC2216" s="663" t="s">
        <v>7148</v>
      </c>
      <c r="AD2216" s="663" t="s">
        <v>4948</v>
      </c>
      <c r="AE2216" s="663" t="s">
        <v>4931</v>
      </c>
      <c r="AF2216" s="663" t="s">
        <v>4946</v>
      </c>
    </row>
    <row r="2217" spans="1:32" s="608" customFormat="1" x14ac:dyDescent="0.25">
      <c r="A2217" s="624"/>
      <c r="B2217" s="617">
        <v>39103404000</v>
      </c>
      <c r="C2217" s="617" t="s">
        <v>3885</v>
      </c>
      <c r="D2217" s="617" t="s">
        <v>75</v>
      </c>
      <c r="E2217" s="617" t="s">
        <v>4853</v>
      </c>
      <c r="F2217" s="617" t="s">
        <v>26</v>
      </c>
      <c r="G2217" s="624"/>
      <c r="O2217" s="616"/>
      <c r="P2217" s="616"/>
      <c r="Q2217" s="616"/>
      <c r="AA2217" s="624"/>
      <c r="AB2217" s="663">
        <v>39113050402</v>
      </c>
      <c r="AC2217" s="663" t="s">
        <v>7149</v>
      </c>
      <c r="AD2217" s="663" t="s">
        <v>4927</v>
      </c>
      <c r="AE2217" s="663" t="s">
        <v>4931</v>
      </c>
      <c r="AF2217" s="663" t="s">
        <v>4946</v>
      </c>
    </row>
    <row r="2218" spans="1:32" s="608" customFormat="1" x14ac:dyDescent="0.25">
      <c r="A2218" s="624"/>
      <c r="B2218" s="617">
        <v>39103405000</v>
      </c>
      <c r="C2218" s="617" t="s">
        <v>3886</v>
      </c>
      <c r="D2218" s="617" t="s">
        <v>75</v>
      </c>
      <c r="E2218" s="617" t="s">
        <v>4853</v>
      </c>
      <c r="F2218" s="617" t="s">
        <v>26</v>
      </c>
      <c r="G2218" s="624"/>
      <c r="O2218" s="616"/>
      <c r="P2218" s="616"/>
      <c r="Q2218" s="616"/>
      <c r="AA2218" s="624"/>
      <c r="AB2218" s="663">
        <v>39113050502</v>
      </c>
      <c r="AC2218" s="663" t="s">
        <v>7150</v>
      </c>
      <c r="AD2218" s="663" t="s">
        <v>4950</v>
      </c>
      <c r="AE2218" s="663" t="s">
        <v>4939</v>
      </c>
      <c r="AF2218" s="663" t="s">
        <v>4946</v>
      </c>
    </row>
    <row r="2219" spans="1:32" s="608" customFormat="1" x14ac:dyDescent="0.25">
      <c r="A2219" s="624"/>
      <c r="B2219" s="617">
        <v>39103406000</v>
      </c>
      <c r="C2219" s="617" t="s">
        <v>3887</v>
      </c>
      <c r="D2219" s="617" t="s">
        <v>75</v>
      </c>
      <c r="E2219" s="617" t="s">
        <v>4853</v>
      </c>
      <c r="F2219" s="617" t="s">
        <v>26</v>
      </c>
      <c r="G2219" s="624"/>
      <c r="O2219" s="616"/>
      <c r="P2219" s="616"/>
      <c r="Q2219" s="616"/>
      <c r="AA2219" s="624"/>
      <c r="AB2219" s="663">
        <v>39113050503</v>
      </c>
      <c r="AC2219" s="663" t="s">
        <v>7151</v>
      </c>
      <c r="AD2219" s="663" t="s">
        <v>4948</v>
      </c>
      <c r="AE2219" s="663" t="s">
        <v>4934</v>
      </c>
      <c r="AF2219" s="663" t="s">
        <v>4946</v>
      </c>
    </row>
    <row r="2220" spans="1:32" s="608" customFormat="1" x14ac:dyDescent="0.25">
      <c r="A2220" s="624"/>
      <c r="B2220" s="617">
        <v>39103407000</v>
      </c>
      <c r="C2220" s="617" t="s">
        <v>3888</v>
      </c>
      <c r="D2220" s="617" t="s">
        <v>75</v>
      </c>
      <c r="E2220" s="617" t="s">
        <v>4853</v>
      </c>
      <c r="F2220" s="617" t="s">
        <v>26</v>
      </c>
      <c r="G2220" s="624"/>
      <c r="O2220" s="616"/>
      <c r="P2220" s="616"/>
      <c r="Q2220" s="616"/>
      <c r="AA2220" s="624"/>
      <c r="AB2220" s="663">
        <v>39113050504</v>
      </c>
      <c r="AC2220" s="663" t="s">
        <v>7152</v>
      </c>
      <c r="AD2220" s="663" t="s">
        <v>4948</v>
      </c>
      <c r="AE2220" s="663" t="s">
        <v>4942</v>
      </c>
      <c r="AF2220" s="663" t="s">
        <v>4946</v>
      </c>
    </row>
    <row r="2221" spans="1:32" s="608" customFormat="1" x14ac:dyDescent="0.25">
      <c r="A2221" s="624"/>
      <c r="B2221" s="617">
        <v>39103408001</v>
      </c>
      <c r="C2221" s="617" t="s">
        <v>3889</v>
      </c>
      <c r="D2221" s="617" t="s">
        <v>75</v>
      </c>
      <c r="E2221" s="617" t="s">
        <v>4853</v>
      </c>
      <c r="F2221" s="617" t="s">
        <v>26</v>
      </c>
      <c r="G2221" s="624"/>
      <c r="O2221" s="616"/>
      <c r="P2221" s="616"/>
      <c r="Q2221" s="616"/>
      <c r="AA2221" s="624"/>
      <c r="AB2221" s="663">
        <v>39113050600</v>
      </c>
      <c r="AC2221" s="663" t="s">
        <v>7153</v>
      </c>
      <c r="AD2221" s="663" t="s">
        <v>4950</v>
      </c>
      <c r="AE2221" s="663" t="s">
        <v>4931</v>
      </c>
      <c r="AF2221" s="663" t="s">
        <v>4946</v>
      </c>
    </row>
    <row r="2222" spans="1:32" s="608" customFormat="1" x14ac:dyDescent="0.25">
      <c r="A2222" s="624"/>
      <c r="B2222" s="617">
        <v>39103408002</v>
      </c>
      <c r="C2222" s="617" t="s">
        <v>3890</v>
      </c>
      <c r="D2222" s="617" t="s">
        <v>75</v>
      </c>
      <c r="E2222" s="617" t="s">
        <v>4853</v>
      </c>
      <c r="F2222" s="617" t="s">
        <v>26</v>
      </c>
      <c r="G2222" s="624"/>
      <c r="O2222" s="616"/>
      <c r="P2222" s="616"/>
      <c r="Q2222" s="616"/>
      <c r="AA2222" s="624"/>
      <c r="AB2222" s="663">
        <v>39113060100</v>
      </c>
      <c r="AC2222" s="663" t="s">
        <v>7154</v>
      </c>
      <c r="AD2222" s="663" t="s">
        <v>4927</v>
      </c>
      <c r="AE2222" s="663" t="s">
        <v>4942</v>
      </c>
      <c r="AF2222" s="663" t="s">
        <v>4929</v>
      </c>
    </row>
    <row r="2223" spans="1:32" s="608" customFormat="1" x14ac:dyDescent="0.25">
      <c r="A2223" s="624"/>
      <c r="B2223" s="617">
        <v>39103408003</v>
      </c>
      <c r="C2223" s="617" t="s">
        <v>3891</v>
      </c>
      <c r="D2223" s="617" t="s">
        <v>75</v>
      </c>
      <c r="E2223" s="617" t="s">
        <v>4853</v>
      </c>
      <c r="F2223" s="617" t="s">
        <v>26</v>
      </c>
      <c r="G2223" s="624"/>
      <c r="O2223" s="616"/>
      <c r="P2223" s="616"/>
      <c r="Q2223" s="616"/>
      <c r="AA2223" s="624"/>
      <c r="AB2223" s="663">
        <v>39113060200</v>
      </c>
      <c r="AC2223" s="663" t="s">
        <v>7155</v>
      </c>
      <c r="AD2223" s="663" t="s">
        <v>4927</v>
      </c>
      <c r="AE2223" s="663" t="s">
        <v>4942</v>
      </c>
      <c r="AF2223" s="663" t="s">
        <v>4946</v>
      </c>
    </row>
    <row r="2224" spans="1:32" s="608" customFormat="1" x14ac:dyDescent="0.25">
      <c r="A2224" s="624"/>
      <c r="B2224" s="617">
        <v>39103408101</v>
      </c>
      <c r="C2224" s="617" t="s">
        <v>3892</v>
      </c>
      <c r="D2224" s="617" t="s">
        <v>75</v>
      </c>
      <c r="E2224" s="617" t="s">
        <v>4853</v>
      </c>
      <c r="F2224" s="617" t="s">
        <v>26</v>
      </c>
      <c r="G2224" s="624"/>
      <c r="O2224" s="616"/>
      <c r="P2224" s="616"/>
      <c r="Q2224" s="616"/>
      <c r="AA2224" s="624"/>
      <c r="AB2224" s="663">
        <v>39113060300</v>
      </c>
      <c r="AC2224" s="663" t="s">
        <v>7156</v>
      </c>
      <c r="AD2224" s="663" t="s">
        <v>4927</v>
      </c>
      <c r="AE2224" s="663" t="s">
        <v>4934</v>
      </c>
      <c r="AF2224" s="663" t="s">
        <v>4946</v>
      </c>
    </row>
    <row r="2225" spans="1:32" s="608" customFormat="1" x14ac:dyDescent="0.25">
      <c r="A2225" s="624"/>
      <c r="B2225" s="617">
        <v>39103408102</v>
      </c>
      <c r="C2225" s="617" t="s">
        <v>3893</v>
      </c>
      <c r="D2225" s="617" t="s">
        <v>75</v>
      </c>
      <c r="E2225" s="617" t="s">
        <v>4853</v>
      </c>
      <c r="F2225" s="617" t="s">
        <v>26</v>
      </c>
      <c r="G2225" s="624"/>
      <c r="O2225" s="616"/>
      <c r="P2225" s="616"/>
      <c r="Q2225" s="616"/>
      <c r="AA2225" s="624"/>
      <c r="AB2225" s="663">
        <v>39113070101</v>
      </c>
      <c r="AC2225" s="663" t="s">
        <v>7157</v>
      </c>
      <c r="AD2225" s="663" t="s">
        <v>4927</v>
      </c>
      <c r="AE2225" s="663" t="s">
        <v>4928</v>
      </c>
      <c r="AF2225" s="663" t="s">
        <v>4946</v>
      </c>
    </row>
    <row r="2226" spans="1:32" s="608" customFormat="1" x14ac:dyDescent="0.25">
      <c r="A2226" s="624"/>
      <c r="B2226" s="617">
        <v>39103408201</v>
      </c>
      <c r="C2226" s="617" t="s">
        <v>3894</v>
      </c>
      <c r="D2226" s="617" t="s">
        <v>75</v>
      </c>
      <c r="E2226" s="617" t="s">
        <v>4853</v>
      </c>
      <c r="F2226" s="617" t="s">
        <v>26</v>
      </c>
      <c r="G2226" s="624"/>
      <c r="O2226" s="616"/>
      <c r="P2226" s="616"/>
      <c r="Q2226" s="616"/>
      <c r="AA2226" s="624"/>
      <c r="AB2226" s="663">
        <v>39113070102</v>
      </c>
      <c r="AC2226" s="663" t="s">
        <v>7158</v>
      </c>
      <c r="AD2226" s="663" t="s">
        <v>4927</v>
      </c>
      <c r="AE2226" s="663" t="s">
        <v>4928</v>
      </c>
      <c r="AF2226" s="663" t="s">
        <v>4946</v>
      </c>
    </row>
    <row r="2227" spans="1:32" s="608" customFormat="1" x14ac:dyDescent="0.25">
      <c r="A2227" s="624"/>
      <c r="B2227" s="617">
        <v>39103408202</v>
      </c>
      <c r="C2227" s="617" t="s">
        <v>3895</v>
      </c>
      <c r="D2227" s="617" t="s">
        <v>75</v>
      </c>
      <c r="E2227" s="617" t="s">
        <v>4853</v>
      </c>
      <c r="F2227" s="617" t="s">
        <v>26</v>
      </c>
      <c r="G2227" s="624"/>
      <c r="O2227" s="616"/>
      <c r="P2227" s="616"/>
      <c r="Q2227" s="616"/>
      <c r="AA2227" s="624"/>
      <c r="AB2227" s="663">
        <v>39113070201</v>
      </c>
      <c r="AC2227" s="663" t="s">
        <v>7159</v>
      </c>
      <c r="AD2227" s="663" t="s">
        <v>4927</v>
      </c>
      <c r="AE2227" s="663" t="s">
        <v>4942</v>
      </c>
      <c r="AF2227" s="663" t="s">
        <v>4946</v>
      </c>
    </row>
    <row r="2228" spans="1:32" s="608" customFormat="1" x14ac:dyDescent="0.25">
      <c r="A2228" s="624"/>
      <c r="B2228" s="617">
        <v>39103408301</v>
      </c>
      <c r="C2228" s="617" t="s">
        <v>3896</v>
      </c>
      <c r="D2228" s="617" t="s">
        <v>75</v>
      </c>
      <c r="E2228" s="617" t="s">
        <v>4853</v>
      </c>
      <c r="F2228" s="617" t="s">
        <v>26</v>
      </c>
      <c r="G2228" s="624"/>
      <c r="O2228" s="616"/>
      <c r="P2228" s="616"/>
      <c r="Q2228" s="616"/>
      <c r="AA2228" s="624"/>
      <c r="AB2228" s="663">
        <v>39113070202</v>
      </c>
      <c r="AC2228" s="663" t="s">
        <v>7160</v>
      </c>
      <c r="AD2228" s="663" t="s">
        <v>4927</v>
      </c>
      <c r="AE2228" s="663" t="s">
        <v>4928</v>
      </c>
      <c r="AF2228" s="663" t="s">
        <v>4946</v>
      </c>
    </row>
    <row r="2229" spans="1:32" s="608" customFormat="1" x14ac:dyDescent="0.25">
      <c r="A2229" s="624"/>
      <c r="B2229" s="617">
        <v>39103408303</v>
      </c>
      <c r="C2229" s="617" t="s">
        <v>3897</v>
      </c>
      <c r="D2229" s="617" t="s">
        <v>75</v>
      </c>
      <c r="E2229" s="617" t="s">
        <v>4853</v>
      </c>
      <c r="F2229" s="617" t="s">
        <v>26</v>
      </c>
      <c r="G2229" s="624"/>
      <c r="O2229" s="616"/>
      <c r="P2229" s="616"/>
      <c r="Q2229" s="616"/>
      <c r="AA2229" s="624"/>
      <c r="AB2229" s="663">
        <v>39113070300</v>
      </c>
      <c r="AC2229" s="663" t="s">
        <v>7161</v>
      </c>
      <c r="AD2229" s="663" t="s">
        <v>4927</v>
      </c>
      <c r="AE2229" s="663" t="s">
        <v>4931</v>
      </c>
      <c r="AF2229" s="663" t="s">
        <v>4946</v>
      </c>
    </row>
    <row r="2230" spans="1:32" s="608" customFormat="1" x14ac:dyDescent="0.25">
      <c r="A2230" s="624"/>
      <c r="B2230" s="617">
        <v>39103408304</v>
      </c>
      <c r="C2230" s="617" t="s">
        <v>3898</v>
      </c>
      <c r="D2230" s="617" t="s">
        <v>75</v>
      </c>
      <c r="E2230" s="617" t="s">
        <v>4853</v>
      </c>
      <c r="F2230" s="617" t="s">
        <v>26</v>
      </c>
      <c r="G2230" s="624"/>
      <c r="O2230" s="616"/>
      <c r="P2230" s="616"/>
      <c r="Q2230" s="616"/>
      <c r="AA2230" s="624"/>
      <c r="AB2230" s="663">
        <v>39113070400</v>
      </c>
      <c r="AC2230" s="663" t="s">
        <v>7162</v>
      </c>
      <c r="AD2230" s="663" t="s">
        <v>4927</v>
      </c>
      <c r="AE2230" s="663" t="s">
        <v>4928</v>
      </c>
      <c r="AF2230" s="663" t="s">
        <v>4946</v>
      </c>
    </row>
    <row r="2231" spans="1:32" s="608" customFormat="1" x14ac:dyDescent="0.25">
      <c r="A2231" s="624"/>
      <c r="B2231" s="617">
        <v>39103408305</v>
      </c>
      <c r="C2231" s="617" t="s">
        <v>3899</v>
      </c>
      <c r="D2231" s="617" t="s">
        <v>75</v>
      </c>
      <c r="E2231" s="617" t="s">
        <v>4853</v>
      </c>
      <c r="F2231" s="617" t="s">
        <v>26</v>
      </c>
      <c r="G2231" s="624"/>
      <c r="O2231" s="616"/>
      <c r="P2231" s="616"/>
      <c r="Q2231" s="616"/>
      <c r="AA2231" s="624"/>
      <c r="AB2231" s="663">
        <v>39113070500</v>
      </c>
      <c r="AC2231" s="663" t="s">
        <v>7163</v>
      </c>
      <c r="AD2231" s="663" t="s">
        <v>4927</v>
      </c>
      <c r="AE2231" s="663" t="s">
        <v>4928</v>
      </c>
      <c r="AF2231" s="663" t="s">
        <v>4946</v>
      </c>
    </row>
    <row r="2232" spans="1:32" s="608" customFormat="1" x14ac:dyDescent="0.25">
      <c r="A2232" s="624"/>
      <c r="B2232" s="617">
        <v>39103409001</v>
      </c>
      <c r="C2232" s="617" t="s">
        <v>3900</v>
      </c>
      <c r="D2232" s="617" t="s">
        <v>75</v>
      </c>
      <c r="E2232" s="617" t="s">
        <v>4853</v>
      </c>
      <c r="F2232" s="617" t="s">
        <v>26</v>
      </c>
      <c r="G2232" s="624"/>
      <c r="O2232" s="616"/>
      <c r="P2232" s="616"/>
      <c r="Q2232" s="616"/>
      <c r="AA2232" s="624"/>
      <c r="AB2232" s="663">
        <v>39113070600</v>
      </c>
      <c r="AC2232" s="663" t="s">
        <v>7164</v>
      </c>
      <c r="AD2232" s="663" t="s">
        <v>4950</v>
      </c>
      <c r="AE2232" s="663" t="s">
        <v>4928</v>
      </c>
      <c r="AF2232" s="663" t="s">
        <v>4946</v>
      </c>
    </row>
    <row r="2233" spans="1:32" s="608" customFormat="1" x14ac:dyDescent="0.25">
      <c r="A2233" s="624"/>
      <c r="B2233" s="617">
        <v>39103409002</v>
      </c>
      <c r="C2233" s="617" t="s">
        <v>3901</v>
      </c>
      <c r="D2233" s="617" t="s">
        <v>75</v>
      </c>
      <c r="E2233" s="617" t="s">
        <v>4853</v>
      </c>
      <c r="F2233" s="617" t="s">
        <v>26</v>
      </c>
      <c r="G2233" s="624"/>
      <c r="O2233" s="616"/>
      <c r="P2233" s="616"/>
      <c r="Q2233" s="616"/>
      <c r="AA2233" s="624"/>
      <c r="AB2233" s="663">
        <v>39113070700</v>
      </c>
      <c r="AC2233" s="663" t="s">
        <v>7165</v>
      </c>
      <c r="AD2233" s="663" t="s">
        <v>4927</v>
      </c>
      <c r="AE2233" s="663" t="s">
        <v>4939</v>
      </c>
      <c r="AF2233" s="663" t="s">
        <v>4946</v>
      </c>
    </row>
    <row r="2234" spans="1:32" s="608" customFormat="1" x14ac:dyDescent="0.25">
      <c r="A2234" s="624"/>
      <c r="B2234" s="617">
        <v>39103410000</v>
      </c>
      <c r="C2234" s="617" t="s">
        <v>3902</v>
      </c>
      <c r="D2234" s="617" t="s">
        <v>75</v>
      </c>
      <c r="E2234" s="617" t="s">
        <v>4853</v>
      </c>
      <c r="F2234" s="617" t="s">
        <v>26</v>
      </c>
      <c r="G2234" s="624"/>
      <c r="O2234" s="616"/>
      <c r="P2234" s="616"/>
      <c r="Q2234" s="616"/>
      <c r="AA2234" s="624"/>
      <c r="AB2234" s="663">
        <v>39113080100</v>
      </c>
      <c r="AC2234" s="663" t="s">
        <v>7166</v>
      </c>
      <c r="AD2234" s="663" t="s">
        <v>4927</v>
      </c>
      <c r="AE2234" s="663" t="s">
        <v>4931</v>
      </c>
      <c r="AF2234" s="663" t="s">
        <v>4946</v>
      </c>
    </row>
    <row r="2235" spans="1:32" s="608" customFormat="1" x14ac:dyDescent="0.25">
      <c r="A2235" s="624"/>
      <c r="B2235" s="617">
        <v>39103411001</v>
      </c>
      <c r="C2235" s="617" t="s">
        <v>3903</v>
      </c>
      <c r="D2235" s="617" t="s">
        <v>75</v>
      </c>
      <c r="E2235" s="617" t="s">
        <v>4853</v>
      </c>
      <c r="F2235" s="617" t="s">
        <v>26</v>
      </c>
      <c r="G2235" s="624"/>
      <c r="O2235" s="616"/>
      <c r="P2235" s="616"/>
      <c r="Q2235" s="616"/>
      <c r="AA2235" s="624"/>
      <c r="AB2235" s="663">
        <v>39113080200</v>
      </c>
      <c r="AC2235" s="663" t="s">
        <v>7167</v>
      </c>
      <c r="AD2235" s="663" t="s">
        <v>4927</v>
      </c>
      <c r="AE2235" s="663" t="s">
        <v>4928</v>
      </c>
      <c r="AF2235" s="663" t="s">
        <v>4946</v>
      </c>
    </row>
    <row r="2236" spans="1:32" s="608" customFormat="1" x14ac:dyDescent="0.25">
      <c r="A2236" s="624"/>
      <c r="B2236" s="617">
        <v>39103411002</v>
      </c>
      <c r="C2236" s="617" t="s">
        <v>3904</v>
      </c>
      <c r="D2236" s="617" t="s">
        <v>75</v>
      </c>
      <c r="E2236" s="617" t="s">
        <v>4853</v>
      </c>
      <c r="F2236" s="617" t="s">
        <v>26</v>
      </c>
      <c r="G2236" s="624"/>
      <c r="O2236" s="616"/>
      <c r="P2236" s="616"/>
      <c r="Q2236" s="616"/>
      <c r="AA2236" s="624"/>
      <c r="AB2236" s="663">
        <v>39113080300</v>
      </c>
      <c r="AC2236" s="663" t="s">
        <v>7168</v>
      </c>
      <c r="AD2236" s="663" t="s">
        <v>4927</v>
      </c>
      <c r="AE2236" s="663" t="s">
        <v>4928</v>
      </c>
      <c r="AF2236" s="663" t="s">
        <v>4946</v>
      </c>
    </row>
    <row r="2237" spans="1:32" s="608" customFormat="1" x14ac:dyDescent="0.25">
      <c r="A2237" s="624"/>
      <c r="B2237" s="617">
        <v>39103412000</v>
      </c>
      <c r="C2237" s="617" t="s">
        <v>3905</v>
      </c>
      <c r="D2237" s="617" t="s">
        <v>75</v>
      </c>
      <c r="E2237" s="617" t="s">
        <v>4853</v>
      </c>
      <c r="F2237" s="617" t="s">
        <v>26</v>
      </c>
      <c r="G2237" s="624"/>
      <c r="O2237" s="616"/>
      <c r="P2237" s="616"/>
      <c r="Q2237" s="616"/>
      <c r="AA2237" s="624"/>
      <c r="AB2237" s="663">
        <v>39113080400</v>
      </c>
      <c r="AC2237" s="663" t="s">
        <v>7169</v>
      </c>
      <c r="AD2237" s="663" t="s">
        <v>4927</v>
      </c>
      <c r="AE2237" s="663" t="s">
        <v>4931</v>
      </c>
      <c r="AF2237" s="663" t="s">
        <v>4946</v>
      </c>
    </row>
    <row r="2238" spans="1:32" s="608" customFormat="1" x14ac:dyDescent="0.25">
      <c r="A2238" s="624"/>
      <c r="B2238" s="617">
        <v>39103413000</v>
      </c>
      <c r="C2238" s="617" t="s">
        <v>3906</v>
      </c>
      <c r="D2238" s="617" t="s">
        <v>75</v>
      </c>
      <c r="E2238" s="617" t="s">
        <v>4853</v>
      </c>
      <c r="F2238" s="617" t="s">
        <v>26</v>
      </c>
      <c r="G2238" s="624"/>
      <c r="O2238" s="616"/>
      <c r="P2238" s="616"/>
      <c r="Q2238" s="616"/>
      <c r="AA2238" s="624"/>
      <c r="AB2238" s="663">
        <v>39113080500</v>
      </c>
      <c r="AC2238" s="663" t="s">
        <v>7170</v>
      </c>
      <c r="AD2238" s="663" t="s">
        <v>4927</v>
      </c>
      <c r="AE2238" s="663" t="s">
        <v>4934</v>
      </c>
      <c r="AF2238" s="663" t="s">
        <v>4946</v>
      </c>
    </row>
    <row r="2239" spans="1:32" s="608" customFormat="1" x14ac:dyDescent="0.25">
      <c r="A2239" s="624"/>
      <c r="B2239" s="617">
        <v>39103415100</v>
      </c>
      <c r="C2239" s="617" t="s">
        <v>3907</v>
      </c>
      <c r="D2239" s="617" t="s">
        <v>75</v>
      </c>
      <c r="E2239" s="617" t="s">
        <v>4853</v>
      </c>
      <c r="F2239" s="617" t="s">
        <v>26</v>
      </c>
      <c r="G2239" s="624"/>
      <c r="O2239" s="616"/>
      <c r="P2239" s="616"/>
      <c r="Q2239" s="616"/>
      <c r="AA2239" s="624"/>
      <c r="AB2239" s="663">
        <v>39113080600</v>
      </c>
      <c r="AC2239" s="663" t="s">
        <v>7171</v>
      </c>
      <c r="AD2239" s="663" t="s">
        <v>4927</v>
      </c>
      <c r="AE2239" s="663" t="s">
        <v>4934</v>
      </c>
      <c r="AF2239" s="663" t="s">
        <v>4946</v>
      </c>
    </row>
    <row r="2240" spans="1:32" s="608" customFormat="1" x14ac:dyDescent="0.25">
      <c r="A2240" s="624"/>
      <c r="B2240" s="617">
        <v>39103415200</v>
      </c>
      <c r="C2240" s="617" t="s">
        <v>3908</v>
      </c>
      <c r="D2240" s="617" t="s">
        <v>75</v>
      </c>
      <c r="E2240" s="617" t="s">
        <v>4853</v>
      </c>
      <c r="F2240" s="617" t="s">
        <v>26</v>
      </c>
      <c r="G2240" s="624"/>
      <c r="O2240" s="616"/>
      <c r="P2240" s="616"/>
      <c r="Q2240" s="616"/>
      <c r="AA2240" s="624"/>
      <c r="AB2240" s="663">
        <v>39113080700</v>
      </c>
      <c r="AC2240" s="663" t="s">
        <v>7172</v>
      </c>
      <c r="AD2240" s="663" t="s">
        <v>4950</v>
      </c>
      <c r="AE2240" s="663" t="s">
        <v>4928</v>
      </c>
      <c r="AF2240" s="663" t="s">
        <v>4946</v>
      </c>
    </row>
    <row r="2241" spans="1:32" s="608" customFormat="1" x14ac:dyDescent="0.25">
      <c r="A2241" s="624"/>
      <c r="B2241" s="617">
        <v>39103415300</v>
      </c>
      <c r="C2241" s="617" t="s">
        <v>3909</v>
      </c>
      <c r="D2241" s="617" t="s">
        <v>75</v>
      </c>
      <c r="E2241" s="617" t="s">
        <v>4853</v>
      </c>
      <c r="F2241" s="617" t="s">
        <v>26</v>
      </c>
      <c r="G2241" s="624"/>
      <c r="O2241" s="616"/>
      <c r="P2241" s="616"/>
      <c r="Q2241" s="616"/>
      <c r="AA2241" s="624"/>
      <c r="AB2241" s="663">
        <v>39113090302</v>
      </c>
      <c r="AC2241" s="663" t="s">
        <v>7173</v>
      </c>
      <c r="AD2241" s="663" t="s">
        <v>4927</v>
      </c>
      <c r="AE2241" s="663" t="s">
        <v>4942</v>
      </c>
      <c r="AF2241" s="663" t="s">
        <v>4946</v>
      </c>
    </row>
    <row r="2242" spans="1:32" s="608" customFormat="1" x14ac:dyDescent="0.25">
      <c r="A2242" s="624"/>
      <c r="B2242" s="617">
        <v>39103415400</v>
      </c>
      <c r="C2242" s="617" t="s">
        <v>3910</v>
      </c>
      <c r="D2242" s="617" t="s">
        <v>75</v>
      </c>
      <c r="E2242" s="617" t="s">
        <v>4853</v>
      </c>
      <c r="F2242" s="617" t="s">
        <v>26</v>
      </c>
      <c r="G2242" s="624"/>
      <c r="O2242" s="616"/>
      <c r="P2242" s="616"/>
      <c r="Q2242" s="616"/>
      <c r="AA2242" s="624"/>
      <c r="AB2242" s="663">
        <v>39113090303</v>
      </c>
      <c r="AC2242" s="663" t="s">
        <v>7174</v>
      </c>
      <c r="AD2242" s="663" t="s">
        <v>4941</v>
      </c>
      <c r="AE2242" s="663" t="s">
        <v>4942</v>
      </c>
      <c r="AF2242" s="663" t="s">
        <v>4946</v>
      </c>
    </row>
    <row r="2243" spans="1:32" s="608" customFormat="1" x14ac:dyDescent="0.25">
      <c r="A2243" s="624"/>
      <c r="B2243" s="617">
        <v>39103415801</v>
      </c>
      <c r="C2243" s="617" t="s">
        <v>3911</v>
      </c>
      <c r="D2243" s="617" t="s">
        <v>75</v>
      </c>
      <c r="E2243" s="617" t="s">
        <v>4853</v>
      </c>
      <c r="F2243" s="617" t="s">
        <v>26</v>
      </c>
      <c r="G2243" s="624"/>
      <c r="O2243" s="616"/>
      <c r="P2243" s="616"/>
      <c r="Q2243" s="616"/>
      <c r="AA2243" s="624"/>
      <c r="AB2243" s="663">
        <v>39113090304</v>
      </c>
      <c r="AC2243" s="663" t="s">
        <v>7175</v>
      </c>
      <c r="AD2243" s="663" t="s">
        <v>4948</v>
      </c>
      <c r="AE2243" s="663" t="s">
        <v>4939</v>
      </c>
      <c r="AF2243" s="663" t="s">
        <v>4946</v>
      </c>
    </row>
    <row r="2244" spans="1:32" s="608" customFormat="1" x14ac:dyDescent="0.25">
      <c r="A2244" s="624"/>
      <c r="B2244" s="617">
        <v>39103415802</v>
      </c>
      <c r="C2244" s="617" t="s">
        <v>3912</v>
      </c>
      <c r="D2244" s="617" t="s">
        <v>75</v>
      </c>
      <c r="E2244" s="617" t="s">
        <v>4853</v>
      </c>
      <c r="F2244" s="617" t="s">
        <v>26</v>
      </c>
      <c r="G2244" s="624"/>
      <c r="O2244" s="616"/>
      <c r="P2244" s="616"/>
      <c r="Q2244" s="616"/>
      <c r="AA2244" s="624"/>
      <c r="AB2244" s="663">
        <v>39113090600</v>
      </c>
      <c r="AC2244" s="663" t="s">
        <v>7176</v>
      </c>
      <c r="AD2244" s="663" t="s">
        <v>4927</v>
      </c>
      <c r="AE2244" s="663" t="s">
        <v>4942</v>
      </c>
      <c r="AF2244" s="663" t="s">
        <v>4946</v>
      </c>
    </row>
    <row r="2245" spans="1:32" s="608" customFormat="1" x14ac:dyDescent="0.25">
      <c r="A2245" s="624"/>
      <c r="B2245" s="617">
        <v>39103416000</v>
      </c>
      <c r="C2245" s="617" t="s">
        <v>3913</v>
      </c>
      <c r="D2245" s="617" t="s">
        <v>75</v>
      </c>
      <c r="E2245" s="617" t="s">
        <v>4853</v>
      </c>
      <c r="F2245" s="617" t="s">
        <v>26</v>
      </c>
      <c r="G2245" s="624"/>
      <c r="O2245" s="616"/>
      <c r="P2245" s="616"/>
      <c r="Q2245" s="616"/>
      <c r="AA2245" s="624"/>
      <c r="AB2245" s="663">
        <v>39113090700</v>
      </c>
      <c r="AC2245" s="663" t="s">
        <v>7177</v>
      </c>
      <c r="AD2245" s="663" t="s">
        <v>4948</v>
      </c>
      <c r="AE2245" s="663" t="s">
        <v>4928</v>
      </c>
      <c r="AF2245" s="663" t="s">
        <v>4946</v>
      </c>
    </row>
    <row r="2246" spans="1:32" s="608" customFormat="1" x14ac:dyDescent="0.25">
      <c r="A2246" s="624"/>
      <c r="B2246" s="617">
        <v>39103416100</v>
      </c>
      <c r="C2246" s="617" t="s">
        <v>3914</v>
      </c>
      <c r="D2246" s="617" t="s">
        <v>75</v>
      </c>
      <c r="E2246" s="617" t="s">
        <v>4853</v>
      </c>
      <c r="F2246" s="617" t="s">
        <v>26</v>
      </c>
      <c r="G2246" s="624"/>
      <c r="O2246" s="616"/>
      <c r="P2246" s="616"/>
      <c r="Q2246" s="616"/>
      <c r="AA2246" s="624"/>
      <c r="AB2246" s="663">
        <v>39113090800</v>
      </c>
      <c r="AC2246" s="663" t="s">
        <v>7178</v>
      </c>
      <c r="AD2246" s="663" t="s">
        <v>4948</v>
      </c>
      <c r="AE2246" s="663" t="s">
        <v>4928</v>
      </c>
      <c r="AF2246" s="663" t="s">
        <v>4946</v>
      </c>
    </row>
    <row r="2247" spans="1:32" s="608" customFormat="1" x14ac:dyDescent="0.25">
      <c r="A2247" s="624"/>
      <c r="B2247" s="617">
        <v>39103416200</v>
      </c>
      <c r="C2247" s="617" t="s">
        <v>3915</v>
      </c>
      <c r="D2247" s="617" t="s">
        <v>75</v>
      </c>
      <c r="E2247" s="617" t="s">
        <v>4853</v>
      </c>
      <c r="F2247" s="617" t="s">
        <v>26</v>
      </c>
      <c r="G2247" s="624"/>
      <c r="O2247" s="616"/>
      <c r="P2247" s="616"/>
      <c r="Q2247" s="616"/>
      <c r="AA2247" s="624"/>
      <c r="AB2247" s="663">
        <v>39113090900</v>
      </c>
      <c r="AC2247" s="663" t="s">
        <v>7179</v>
      </c>
      <c r="AD2247" s="663" t="s">
        <v>4948</v>
      </c>
      <c r="AE2247" s="663" t="s">
        <v>4939</v>
      </c>
      <c r="AF2247" s="663" t="s">
        <v>4946</v>
      </c>
    </row>
    <row r="2248" spans="1:32" s="608" customFormat="1" x14ac:dyDescent="0.25">
      <c r="A2248" s="624"/>
      <c r="B2248" s="617">
        <v>39103416300</v>
      </c>
      <c r="C2248" s="617" t="s">
        <v>3916</v>
      </c>
      <c r="D2248" s="617" t="s">
        <v>75</v>
      </c>
      <c r="E2248" s="617" t="s">
        <v>4853</v>
      </c>
      <c r="F2248" s="617" t="s">
        <v>26</v>
      </c>
      <c r="G2248" s="624"/>
      <c r="O2248" s="616"/>
      <c r="P2248" s="616"/>
      <c r="Q2248" s="616"/>
      <c r="AA2248" s="624"/>
      <c r="AB2248" s="663">
        <v>39113091000</v>
      </c>
      <c r="AC2248" s="663" t="s">
        <v>7180</v>
      </c>
      <c r="AD2248" s="663" t="s">
        <v>4950</v>
      </c>
      <c r="AE2248" s="663" t="s">
        <v>4928</v>
      </c>
      <c r="AF2248" s="663" t="s">
        <v>4946</v>
      </c>
    </row>
    <row r="2249" spans="1:32" s="608" customFormat="1" x14ac:dyDescent="0.25">
      <c r="A2249" s="624"/>
      <c r="B2249" s="617">
        <v>39103416400</v>
      </c>
      <c r="C2249" s="617" t="s">
        <v>3917</v>
      </c>
      <c r="D2249" s="617" t="s">
        <v>75</v>
      </c>
      <c r="E2249" s="617" t="s">
        <v>4853</v>
      </c>
      <c r="F2249" s="617" t="s">
        <v>26</v>
      </c>
      <c r="G2249" s="624"/>
      <c r="O2249" s="616"/>
      <c r="P2249" s="616"/>
      <c r="Q2249" s="616"/>
      <c r="AA2249" s="624"/>
      <c r="AB2249" s="663">
        <v>39113091100</v>
      </c>
      <c r="AC2249" s="663" t="s">
        <v>7181</v>
      </c>
      <c r="AD2249" s="663" t="s">
        <v>4938</v>
      </c>
      <c r="AE2249" s="663" t="s">
        <v>4931</v>
      </c>
      <c r="AF2249" s="663" t="s">
        <v>4946</v>
      </c>
    </row>
    <row r="2250" spans="1:32" s="608" customFormat="1" x14ac:dyDescent="0.25">
      <c r="A2250" s="624"/>
      <c r="B2250" s="617">
        <v>39103417001</v>
      </c>
      <c r="C2250" s="617" t="s">
        <v>3918</v>
      </c>
      <c r="D2250" s="617" t="s">
        <v>75</v>
      </c>
      <c r="E2250" s="617" t="s">
        <v>4853</v>
      </c>
      <c r="F2250" s="617" t="s">
        <v>26</v>
      </c>
      <c r="G2250" s="624"/>
      <c r="O2250" s="616"/>
      <c r="P2250" s="616"/>
      <c r="Q2250" s="616"/>
      <c r="AA2250" s="624"/>
      <c r="AB2250" s="663">
        <v>39113100101</v>
      </c>
      <c r="AC2250" s="663" t="s">
        <v>7182</v>
      </c>
      <c r="AD2250" s="663" t="s">
        <v>4927</v>
      </c>
      <c r="AE2250" s="663" t="s">
        <v>4934</v>
      </c>
      <c r="AF2250" s="663" t="s">
        <v>4946</v>
      </c>
    </row>
    <row r="2251" spans="1:32" s="608" customFormat="1" x14ac:dyDescent="0.25">
      <c r="A2251" s="624"/>
      <c r="B2251" s="617">
        <v>39103417002</v>
      </c>
      <c r="C2251" s="617" t="s">
        <v>3919</v>
      </c>
      <c r="D2251" s="617" t="s">
        <v>75</v>
      </c>
      <c r="E2251" s="617" t="s">
        <v>4853</v>
      </c>
      <c r="F2251" s="617" t="s">
        <v>26</v>
      </c>
      <c r="G2251" s="624"/>
      <c r="O2251" s="616"/>
      <c r="P2251" s="616"/>
      <c r="Q2251" s="616"/>
      <c r="AA2251" s="624"/>
      <c r="AB2251" s="663">
        <v>39113100102</v>
      </c>
      <c r="AC2251" s="663" t="s">
        <v>7183</v>
      </c>
      <c r="AD2251" s="663" t="s">
        <v>4948</v>
      </c>
      <c r="AE2251" s="663" t="s">
        <v>4942</v>
      </c>
      <c r="AF2251" s="663" t="s">
        <v>4946</v>
      </c>
    </row>
    <row r="2252" spans="1:32" s="608" customFormat="1" x14ac:dyDescent="0.25">
      <c r="A2252" s="624"/>
      <c r="B2252" s="617">
        <v>39103417100</v>
      </c>
      <c r="C2252" s="617" t="s">
        <v>3920</v>
      </c>
      <c r="D2252" s="617" t="s">
        <v>75</v>
      </c>
      <c r="E2252" s="617" t="s">
        <v>4853</v>
      </c>
      <c r="F2252" s="617" t="s">
        <v>26</v>
      </c>
      <c r="G2252" s="624"/>
      <c r="O2252" s="616"/>
      <c r="P2252" s="616"/>
      <c r="Q2252" s="616"/>
      <c r="AA2252" s="624"/>
      <c r="AB2252" s="663">
        <v>39113100201</v>
      </c>
      <c r="AC2252" s="663" t="s">
        <v>7184</v>
      </c>
      <c r="AD2252" s="663" t="s">
        <v>4927</v>
      </c>
      <c r="AE2252" s="663" t="s">
        <v>4928</v>
      </c>
      <c r="AF2252" s="663" t="s">
        <v>4946</v>
      </c>
    </row>
    <row r="2253" spans="1:32" s="608" customFormat="1" x14ac:dyDescent="0.25">
      <c r="A2253" s="624"/>
      <c r="B2253" s="617">
        <v>39103417200</v>
      </c>
      <c r="C2253" s="617" t="s">
        <v>3921</v>
      </c>
      <c r="D2253" s="617" t="s">
        <v>75</v>
      </c>
      <c r="E2253" s="617" t="s">
        <v>4853</v>
      </c>
      <c r="F2253" s="617" t="s">
        <v>26</v>
      </c>
      <c r="G2253" s="624"/>
      <c r="O2253" s="616"/>
      <c r="P2253" s="616"/>
      <c r="Q2253" s="616"/>
      <c r="AA2253" s="624"/>
      <c r="AB2253" s="663">
        <v>39113100202</v>
      </c>
      <c r="AC2253" s="663" t="s">
        <v>7185</v>
      </c>
      <c r="AD2253" s="663" t="s">
        <v>4950</v>
      </c>
      <c r="AE2253" s="663" t="s">
        <v>4931</v>
      </c>
      <c r="AF2253" s="663" t="s">
        <v>4946</v>
      </c>
    </row>
    <row r="2254" spans="1:32" s="608" customFormat="1" x14ac:dyDescent="0.25">
      <c r="A2254" s="624"/>
      <c r="B2254" s="617">
        <v>39103417300</v>
      </c>
      <c r="C2254" s="617" t="s">
        <v>3922</v>
      </c>
      <c r="D2254" s="617" t="s">
        <v>75</v>
      </c>
      <c r="E2254" s="617" t="s">
        <v>4853</v>
      </c>
      <c r="F2254" s="617" t="s">
        <v>26</v>
      </c>
      <c r="G2254" s="624"/>
      <c r="O2254" s="616"/>
      <c r="P2254" s="616"/>
      <c r="Q2254" s="616"/>
      <c r="AA2254" s="624"/>
      <c r="AB2254" s="663">
        <v>39113100203</v>
      </c>
      <c r="AC2254" s="663" t="s">
        <v>7186</v>
      </c>
      <c r="AD2254" s="663" t="s">
        <v>4950</v>
      </c>
      <c r="AE2254" s="663" t="s">
        <v>4931</v>
      </c>
      <c r="AF2254" s="663" t="s">
        <v>4946</v>
      </c>
    </row>
    <row r="2255" spans="1:32" s="608" customFormat="1" x14ac:dyDescent="0.25">
      <c r="A2255" s="624"/>
      <c r="B2255" s="617">
        <v>39105964100</v>
      </c>
      <c r="C2255" s="617" t="s">
        <v>3923</v>
      </c>
      <c r="D2255" s="617" t="s">
        <v>76</v>
      </c>
      <c r="E2255" s="617" t="s">
        <v>1672</v>
      </c>
      <c r="F2255" s="617" t="s">
        <v>26</v>
      </c>
      <c r="G2255" s="624"/>
      <c r="O2255" s="616"/>
      <c r="P2255" s="616"/>
      <c r="Q2255" s="616"/>
      <c r="AA2255" s="624"/>
      <c r="AB2255" s="663">
        <v>39113100301</v>
      </c>
      <c r="AC2255" s="663" t="s">
        <v>7187</v>
      </c>
      <c r="AD2255" s="663" t="s">
        <v>4950</v>
      </c>
      <c r="AE2255" s="663" t="s">
        <v>4928</v>
      </c>
      <c r="AF2255" s="663" t="s">
        <v>4946</v>
      </c>
    </row>
    <row r="2256" spans="1:32" s="608" customFormat="1" x14ac:dyDescent="0.25">
      <c r="A2256" s="624"/>
      <c r="B2256" s="617">
        <v>39105964200</v>
      </c>
      <c r="C2256" s="617" t="s">
        <v>3924</v>
      </c>
      <c r="D2256" s="617" t="s">
        <v>76</v>
      </c>
      <c r="E2256" s="617" t="s">
        <v>1672</v>
      </c>
      <c r="F2256" s="617" t="s">
        <v>26</v>
      </c>
      <c r="G2256" s="624"/>
      <c r="O2256" s="616"/>
      <c r="P2256" s="616"/>
      <c r="Q2256" s="616"/>
      <c r="AA2256" s="624"/>
      <c r="AB2256" s="663">
        <v>39113100302</v>
      </c>
      <c r="AC2256" s="663" t="s">
        <v>7188</v>
      </c>
      <c r="AD2256" s="663" t="s">
        <v>4950</v>
      </c>
      <c r="AE2256" s="663" t="s">
        <v>4942</v>
      </c>
      <c r="AF2256" s="663" t="s">
        <v>4946</v>
      </c>
    </row>
    <row r="2257" spans="1:32" s="608" customFormat="1" x14ac:dyDescent="0.25">
      <c r="A2257" s="624"/>
      <c r="B2257" s="617">
        <v>39105964300</v>
      </c>
      <c r="C2257" s="617" t="s">
        <v>3925</v>
      </c>
      <c r="D2257" s="617" t="s">
        <v>76</v>
      </c>
      <c r="E2257" s="617" t="s">
        <v>1672</v>
      </c>
      <c r="F2257" s="617" t="s">
        <v>26</v>
      </c>
      <c r="G2257" s="624"/>
      <c r="O2257" s="616"/>
      <c r="P2257" s="616"/>
      <c r="Q2257" s="616"/>
      <c r="AA2257" s="624"/>
      <c r="AB2257" s="663">
        <v>39113100400</v>
      </c>
      <c r="AC2257" s="663" t="s">
        <v>7189</v>
      </c>
      <c r="AD2257" s="663" t="s">
        <v>4950</v>
      </c>
      <c r="AE2257" s="663" t="s">
        <v>4934</v>
      </c>
      <c r="AF2257" s="663" t="s">
        <v>4946</v>
      </c>
    </row>
    <row r="2258" spans="1:32" s="608" customFormat="1" x14ac:dyDescent="0.25">
      <c r="A2258" s="624"/>
      <c r="B2258" s="617">
        <v>39105964400</v>
      </c>
      <c r="C2258" s="617" t="s">
        <v>3926</v>
      </c>
      <c r="D2258" s="617" t="s">
        <v>76</v>
      </c>
      <c r="E2258" s="617" t="s">
        <v>1672</v>
      </c>
      <c r="F2258" s="617" t="s">
        <v>24</v>
      </c>
      <c r="G2258" s="624"/>
      <c r="O2258" s="616"/>
      <c r="P2258" s="616"/>
      <c r="Q2258" s="616"/>
      <c r="AA2258" s="624"/>
      <c r="AB2258" s="663">
        <v>39113110100</v>
      </c>
      <c r="AC2258" s="663" t="s">
        <v>7190</v>
      </c>
      <c r="AD2258" s="663" t="s">
        <v>4938</v>
      </c>
      <c r="AE2258" s="663" t="s">
        <v>4931</v>
      </c>
      <c r="AF2258" s="663" t="s">
        <v>4929</v>
      </c>
    </row>
    <row r="2259" spans="1:32" s="608" customFormat="1" x14ac:dyDescent="0.25">
      <c r="A2259" s="624"/>
      <c r="B2259" s="617">
        <v>39105964500</v>
      </c>
      <c r="C2259" s="617" t="s">
        <v>3927</v>
      </c>
      <c r="D2259" s="617" t="s">
        <v>76</v>
      </c>
      <c r="E2259" s="617" t="s">
        <v>1672</v>
      </c>
      <c r="F2259" s="617" t="s">
        <v>24</v>
      </c>
      <c r="G2259" s="624"/>
      <c r="O2259" s="616"/>
      <c r="P2259" s="616"/>
      <c r="Q2259" s="616"/>
      <c r="AA2259" s="624"/>
      <c r="AB2259" s="663">
        <v>39113110201</v>
      </c>
      <c r="AC2259" s="663" t="s">
        <v>7191</v>
      </c>
      <c r="AD2259" s="663" t="s">
        <v>4941</v>
      </c>
      <c r="AE2259" s="663" t="s">
        <v>4928</v>
      </c>
      <c r="AF2259" s="663" t="s">
        <v>4946</v>
      </c>
    </row>
    <row r="2260" spans="1:32" s="608" customFormat="1" x14ac:dyDescent="0.25">
      <c r="A2260" s="624"/>
      <c r="B2260" s="617">
        <v>39105964600</v>
      </c>
      <c r="C2260" s="617" t="s">
        <v>3928</v>
      </c>
      <c r="D2260" s="617" t="s">
        <v>76</v>
      </c>
      <c r="E2260" s="617" t="s">
        <v>1672</v>
      </c>
      <c r="F2260" s="617" t="s">
        <v>26</v>
      </c>
      <c r="G2260" s="624"/>
      <c r="O2260" s="616"/>
      <c r="P2260" s="616"/>
      <c r="Q2260" s="616"/>
      <c r="AA2260" s="624"/>
      <c r="AB2260" s="663">
        <v>39113110202</v>
      </c>
      <c r="AC2260" s="663" t="s">
        <v>7192</v>
      </c>
      <c r="AD2260" s="663" t="s">
        <v>4948</v>
      </c>
      <c r="AE2260" s="663" t="s">
        <v>4942</v>
      </c>
      <c r="AF2260" s="663" t="s">
        <v>4946</v>
      </c>
    </row>
    <row r="2261" spans="1:32" s="608" customFormat="1" x14ac:dyDescent="0.25">
      <c r="A2261" s="624"/>
      <c r="B2261" s="617">
        <v>39107967200</v>
      </c>
      <c r="C2261" s="617" t="s">
        <v>3929</v>
      </c>
      <c r="D2261" s="617" t="s">
        <v>77</v>
      </c>
      <c r="E2261" s="617" t="s">
        <v>1672</v>
      </c>
      <c r="F2261" s="617" t="s">
        <v>26</v>
      </c>
      <c r="G2261" s="624"/>
      <c r="O2261" s="616"/>
      <c r="P2261" s="616"/>
      <c r="Q2261" s="616"/>
      <c r="AA2261" s="624"/>
      <c r="AB2261" s="663">
        <v>39113115002</v>
      </c>
      <c r="AC2261" s="663" t="s">
        <v>7193</v>
      </c>
      <c r="AD2261" s="663" t="s">
        <v>4948</v>
      </c>
      <c r="AE2261" s="663" t="s">
        <v>4942</v>
      </c>
      <c r="AF2261" s="663" t="s">
        <v>4946</v>
      </c>
    </row>
    <row r="2262" spans="1:32" s="608" customFormat="1" x14ac:dyDescent="0.25">
      <c r="A2262" s="624"/>
      <c r="B2262" s="617">
        <v>39107967300</v>
      </c>
      <c r="C2262" s="617" t="s">
        <v>3930</v>
      </c>
      <c r="D2262" s="617" t="s">
        <v>77</v>
      </c>
      <c r="E2262" s="617" t="s">
        <v>1672</v>
      </c>
      <c r="F2262" s="617" t="s">
        <v>26</v>
      </c>
      <c r="G2262" s="624"/>
      <c r="O2262" s="616"/>
      <c r="P2262" s="616"/>
      <c r="Q2262" s="616"/>
      <c r="AA2262" s="624"/>
      <c r="AB2262" s="663">
        <v>39113115011</v>
      </c>
      <c r="AC2262" s="663" t="s">
        <v>7194</v>
      </c>
      <c r="AD2262" s="663" t="s">
        <v>4948</v>
      </c>
      <c r="AE2262" s="663" t="s">
        <v>4931</v>
      </c>
      <c r="AF2262" s="663" t="s">
        <v>4946</v>
      </c>
    </row>
    <row r="2263" spans="1:32" s="608" customFormat="1" x14ac:dyDescent="0.25">
      <c r="A2263" s="624"/>
      <c r="B2263" s="617">
        <v>39107967400</v>
      </c>
      <c r="C2263" s="617" t="s">
        <v>3931</v>
      </c>
      <c r="D2263" s="617" t="s">
        <v>77</v>
      </c>
      <c r="E2263" s="617" t="s">
        <v>1672</v>
      </c>
      <c r="F2263" s="617" t="s">
        <v>26</v>
      </c>
      <c r="G2263" s="624"/>
      <c r="O2263" s="616"/>
      <c r="P2263" s="616"/>
      <c r="Q2263" s="616"/>
      <c r="AA2263" s="624"/>
      <c r="AB2263" s="663">
        <v>39113115012</v>
      </c>
      <c r="AC2263" s="663" t="s">
        <v>7195</v>
      </c>
      <c r="AD2263" s="663" t="s">
        <v>4948</v>
      </c>
      <c r="AE2263" s="663" t="s">
        <v>4942</v>
      </c>
      <c r="AF2263" s="663" t="s">
        <v>4946</v>
      </c>
    </row>
    <row r="2264" spans="1:32" s="608" customFormat="1" x14ac:dyDescent="0.25">
      <c r="A2264" s="624"/>
      <c r="B2264" s="617">
        <v>39107967500</v>
      </c>
      <c r="C2264" s="617" t="s">
        <v>3932</v>
      </c>
      <c r="D2264" s="617" t="s">
        <v>77</v>
      </c>
      <c r="E2264" s="617" t="s">
        <v>1672</v>
      </c>
      <c r="F2264" s="617" t="s">
        <v>26</v>
      </c>
      <c r="G2264" s="624"/>
      <c r="O2264" s="616"/>
      <c r="P2264" s="616"/>
      <c r="Q2264" s="616"/>
      <c r="AA2264" s="624"/>
      <c r="AB2264" s="663">
        <v>39113120101</v>
      </c>
      <c r="AC2264" s="663" t="s">
        <v>7196</v>
      </c>
      <c r="AD2264" s="663" t="s">
        <v>4941</v>
      </c>
      <c r="AE2264" s="663" t="s">
        <v>4928</v>
      </c>
      <c r="AF2264" s="663" t="s">
        <v>4946</v>
      </c>
    </row>
    <row r="2265" spans="1:32" s="608" customFormat="1" x14ac:dyDescent="0.25">
      <c r="A2265" s="624"/>
      <c r="B2265" s="617">
        <v>39107967600</v>
      </c>
      <c r="C2265" s="617" t="s">
        <v>3933</v>
      </c>
      <c r="D2265" s="617" t="s">
        <v>77</v>
      </c>
      <c r="E2265" s="617" t="s">
        <v>1672</v>
      </c>
      <c r="F2265" s="617" t="s">
        <v>26</v>
      </c>
      <c r="G2265" s="624"/>
      <c r="O2265" s="616"/>
      <c r="P2265" s="616"/>
      <c r="Q2265" s="616"/>
      <c r="AA2265" s="624"/>
      <c r="AB2265" s="663">
        <v>39113120102</v>
      </c>
      <c r="AC2265" s="663" t="s">
        <v>7197</v>
      </c>
      <c r="AD2265" s="663" t="s">
        <v>4950</v>
      </c>
      <c r="AE2265" s="663" t="s">
        <v>4939</v>
      </c>
      <c r="AF2265" s="663" t="s">
        <v>4946</v>
      </c>
    </row>
    <row r="2266" spans="1:32" s="608" customFormat="1" x14ac:dyDescent="0.25">
      <c r="A2266" s="624"/>
      <c r="B2266" s="617">
        <v>39107967700</v>
      </c>
      <c r="C2266" s="617" t="s">
        <v>3934</v>
      </c>
      <c r="D2266" s="617" t="s">
        <v>77</v>
      </c>
      <c r="E2266" s="617" t="s">
        <v>1672</v>
      </c>
      <c r="F2266" s="617" t="s">
        <v>26</v>
      </c>
      <c r="G2266" s="624"/>
      <c r="O2266" s="616"/>
      <c r="P2266" s="616"/>
      <c r="Q2266" s="616"/>
      <c r="AA2266" s="624"/>
      <c r="AB2266" s="663">
        <v>39113120103</v>
      </c>
      <c r="AC2266" s="663" t="s">
        <v>7198</v>
      </c>
      <c r="AD2266" s="663" t="s">
        <v>4950</v>
      </c>
      <c r="AE2266" s="663" t="s">
        <v>4928</v>
      </c>
      <c r="AF2266" s="663" t="s">
        <v>4946</v>
      </c>
    </row>
    <row r="2267" spans="1:32" s="608" customFormat="1" x14ac:dyDescent="0.25">
      <c r="A2267" s="624"/>
      <c r="B2267" s="617">
        <v>39107967800</v>
      </c>
      <c r="C2267" s="617" t="s">
        <v>3935</v>
      </c>
      <c r="D2267" s="617" t="s">
        <v>77</v>
      </c>
      <c r="E2267" s="617" t="s">
        <v>1672</v>
      </c>
      <c r="F2267" s="617" t="s">
        <v>26</v>
      </c>
      <c r="G2267" s="624"/>
      <c r="O2267" s="616"/>
      <c r="P2267" s="616"/>
      <c r="Q2267" s="616"/>
      <c r="AA2267" s="624"/>
      <c r="AB2267" s="663">
        <v>39113125000</v>
      </c>
      <c r="AC2267" s="663" t="s">
        <v>7199</v>
      </c>
      <c r="AD2267" s="663" t="s">
        <v>4950</v>
      </c>
      <c r="AE2267" s="663" t="s">
        <v>4931</v>
      </c>
      <c r="AF2267" s="663" t="s">
        <v>4946</v>
      </c>
    </row>
    <row r="2268" spans="1:32" s="608" customFormat="1" x14ac:dyDescent="0.25">
      <c r="A2268" s="624"/>
      <c r="B2268" s="617">
        <v>39107967900</v>
      </c>
      <c r="C2268" s="617" t="s">
        <v>3936</v>
      </c>
      <c r="D2268" s="617" t="s">
        <v>77</v>
      </c>
      <c r="E2268" s="617" t="s">
        <v>1672</v>
      </c>
      <c r="F2268" s="617" t="s">
        <v>26</v>
      </c>
      <c r="G2268" s="624"/>
      <c r="O2268" s="616"/>
      <c r="P2268" s="616"/>
      <c r="Q2268" s="616"/>
      <c r="AA2268" s="624"/>
      <c r="AB2268" s="663">
        <v>39113125101</v>
      </c>
      <c r="AC2268" s="663" t="s">
        <v>7200</v>
      </c>
      <c r="AD2268" s="663" t="s">
        <v>4948</v>
      </c>
      <c r="AE2268" s="663" t="s">
        <v>4931</v>
      </c>
      <c r="AF2268" s="663" t="s">
        <v>4946</v>
      </c>
    </row>
    <row r="2269" spans="1:32" s="608" customFormat="1" x14ac:dyDescent="0.25">
      <c r="A2269" s="624"/>
      <c r="B2269" s="617">
        <v>39107968000</v>
      </c>
      <c r="C2269" s="617" t="s">
        <v>3937</v>
      </c>
      <c r="D2269" s="617" t="s">
        <v>77</v>
      </c>
      <c r="E2269" s="617" t="s">
        <v>1672</v>
      </c>
      <c r="F2269" s="617" t="s">
        <v>26</v>
      </c>
      <c r="G2269" s="624"/>
      <c r="O2269" s="616"/>
      <c r="P2269" s="616"/>
      <c r="Q2269" s="616"/>
      <c r="AA2269" s="624"/>
      <c r="AB2269" s="663">
        <v>39113125102</v>
      </c>
      <c r="AC2269" s="663" t="s">
        <v>7201</v>
      </c>
      <c r="AD2269" s="663" t="s">
        <v>4948</v>
      </c>
      <c r="AE2269" s="663" t="s">
        <v>4931</v>
      </c>
      <c r="AF2269" s="663" t="s">
        <v>4946</v>
      </c>
    </row>
    <row r="2270" spans="1:32" s="608" customFormat="1" x14ac:dyDescent="0.25">
      <c r="A2270" s="624"/>
      <c r="B2270" s="617">
        <v>39109300100</v>
      </c>
      <c r="C2270" s="617" t="s">
        <v>3938</v>
      </c>
      <c r="D2270" s="617" t="s">
        <v>78</v>
      </c>
      <c r="E2270" s="617" t="s">
        <v>4856</v>
      </c>
      <c r="F2270" s="617" t="s">
        <v>26</v>
      </c>
      <c r="G2270" s="624"/>
      <c r="O2270" s="616"/>
      <c r="P2270" s="616"/>
      <c r="Q2270" s="616"/>
      <c r="AA2270" s="624"/>
      <c r="AB2270" s="663">
        <v>39113130101</v>
      </c>
      <c r="AC2270" s="663" t="s">
        <v>7202</v>
      </c>
      <c r="AD2270" s="663" t="s">
        <v>4948</v>
      </c>
      <c r="AE2270" s="663" t="s">
        <v>4934</v>
      </c>
      <c r="AF2270" s="663" t="s">
        <v>4929</v>
      </c>
    </row>
    <row r="2271" spans="1:32" s="608" customFormat="1" x14ac:dyDescent="0.25">
      <c r="A2271" s="624"/>
      <c r="B2271" s="617">
        <v>39109315001</v>
      </c>
      <c r="C2271" s="617" t="s">
        <v>3939</v>
      </c>
      <c r="D2271" s="617" t="s">
        <v>78</v>
      </c>
      <c r="E2271" s="617" t="s">
        <v>4856</v>
      </c>
      <c r="F2271" s="617" t="s">
        <v>26</v>
      </c>
      <c r="G2271" s="624"/>
      <c r="O2271" s="616"/>
      <c r="P2271" s="616"/>
      <c r="Q2271" s="616"/>
      <c r="AA2271" s="624"/>
      <c r="AB2271" s="663">
        <v>39113130102</v>
      </c>
      <c r="AC2271" s="663" t="s">
        <v>7203</v>
      </c>
      <c r="AD2271" s="663" t="s">
        <v>4941</v>
      </c>
      <c r="AE2271" s="663" t="s">
        <v>4939</v>
      </c>
      <c r="AF2271" s="663" t="s">
        <v>4946</v>
      </c>
    </row>
    <row r="2272" spans="1:32" s="608" customFormat="1" x14ac:dyDescent="0.25">
      <c r="A2272" s="624"/>
      <c r="B2272" s="617">
        <v>39109315002</v>
      </c>
      <c r="C2272" s="617" t="s">
        <v>3940</v>
      </c>
      <c r="D2272" s="617" t="s">
        <v>78</v>
      </c>
      <c r="E2272" s="617" t="s">
        <v>4856</v>
      </c>
      <c r="F2272" s="617" t="s">
        <v>26</v>
      </c>
      <c r="G2272" s="624"/>
      <c r="O2272" s="616"/>
      <c r="P2272" s="616"/>
      <c r="Q2272" s="616"/>
      <c r="AA2272" s="624"/>
      <c r="AB2272" s="663">
        <v>39113140100</v>
      </c>
      <c r="AC2272" s="663" t="s">
        <v>7204</v>
      </c>
      <c r="AD2272" s="663" t="s">
        <v>4938</v>
      </c>
      <c r="AE2272" s="663" t="s">
        <v>4939</v>
      </c>
      <c r="AF2272" s="663" t="s">
        <v>4929</v>
      </c>
    </row>
    <row r="2273" spans="1:32" s="608" customFormat="1" x14ac:dyDescent="0.25">
      <c r="A2273" s="624"/>
      <c r="B2273" s="617">
        <v>39109315100</v>
      </c>
      <c r="C2273" s="617" t="s">
        <v>3941</v>
      </c>
      <c r="D2273" s="617" t="s">
        <v>78</v>
      </c>
      <c r="E2273" s="617" t="s">
        <v>4856</v>
      </c>
      <c r="F2273" s="617" t="s">
        <v>26</v>
      </c>
      <c r="G2273" s="624"/>
      <c r="O2273" s="616"/>
      <c r="P2273" s="616"/>
      <c r="Q2273" s="616"/>
      <c r="AA2273" s="624"/>
      <c r="AB2273" s="663">
        <v>39113150100</v>
      </c>
      <c r="AC2273" s="663" t="s">
        <v>7205</v>
      </c>
      <c r="AD2273" s="663" t="s">
        <v>4948</v>
      </c>
      <c r="AE2273" s="663" t="s">
        <v>4931</v>
      </c>
      <c r="AF2273" s="663" t="s">
        <v>4929</v>
      </c>
    </row>
    <row r="2274" spans="1:32" s="608" customFormat="1" x14ac:dyDescent="0.25">
      <c r="A2274" s="624"/>
      <c r="B2274" s="617">
        <v>39109315300</v>
      </c>
      <c r="C2274" s="617" t="s">
        <v>3942</v>
      </c>
      <c r="D2274" s="617" t="s">
        <v>78</v>
      </c>
      <c r="E2274" s="617" t="s">
        <v>4856</v>
      </c>
      <c r="F2274" s="617" t="s">
        <v>24</v>
      </c>
      <c r="G2274" s="624"/>
      <c r="O2274" s="616"/>
      <c r="P2274" s="616"/>
      <c r="Q2274" s="616"/>
      <c r="AA2274" s="624"/>
      <c r="AB2274" s="663">
        <v>39113160100</v>
      </c>
      <c r="AC2274" s="663" t="s">
        <v>7206</v>
      </c>
      <c r="AD2274" s="663" t="s">
        <v>4938</v>
      </c>
      <c r="AE2274" s="663" t="s">
        <v>4939</v>
      </c>
      <c r="AF2274" s="663" t="s">
        <v>4929</v>
      </c>
    </row>
    <row r="2275" spans="1:32" s="608" customFormat="1" x14ac:dyDescent="0.25">
      <c r="A2275" s="624"/>
      <c r="B2275" s="617">
        <v>39109320100</v>
      </c>
      <c r="C2275" s="617" t="s">
        <v>3943</v>
      </c>
      <c r="D2275" s="617" t="s">
        <v>78</v>
      </c>
      <c r="E2275" s="617" t="s">
        <v>4856</v>
      </c>
      <c r="F2275" s="617" t="s">
        <v>26</v>
      </c>
      <c r="G2275" s="624"/>
      <c r="O2275" s="616"/>
      <c r="P2275" s="616"/>
      <c r="Q2275" s="616"/>
      <c r="AA2275" s="624"/>
      <c r="AB2275" s="663">
        <v>39113165000</v>
      </c>
      <c r="AC2275" s="663" t="s">
        <v>7207</v>
      </c>
      <c r="AD2275" s="663" t="s">
        <v>4950</v>
      </c>
      <c r="AE2275" s="663" t="s">
        <v>4934</v>
      </c>
      <c r="AF2275" s="663" t="s">
        <v>4946</v>
      </c>
    </row>
    <row r="2276" spans="1:32" s="608" customFormat="1" x14ac:dyDescent="0.25">
      <c r="A2276" s="624"/>
      <c r="B2276" s="617">
        <v>39109325000</v>
      </c>
      <c r="C2276" s="617" t="s">
        <v>3944</v>
      </c>
      <c r="D2276" s="617" t="s">
        <v>78</v>
      </c>
      <c r="E2276" s="617" t="s">
        <v>4856</v>
      </c>
      <c r="F2276" s="617" t="s">
        <v>26</v>
      </c>
      <c r="G2276" s="624"/>
      <c r="O2276" s="616"/>
      <c r="P2276" s="616"/>
      <c r="Q2276" s="616"/>
      <c r="AA2276" s="624"/>
      <c r="AB2276" s="663">
        <v>39113165100</v>
      </c>
      <c r="AC2276" s="663" t="s">
        <v>7208</v>
      </c>
      <c r="AD2276" s="663" t="s">
        <v>4927</v>
      </c>
      <c r="AE2276" s="663" t="s">
        <v>4928</v>
      </c>
      <c r="AF2276" s="663" t="s">
        <v>4962</v>
      </c>
    </row>
    <row r="2277" spans="1:32" s="608" customFormat="1" x14ac:dyDescent="0.25">
      <c r="A2277" s="624"/>
      <c r="B2277" s="617">
        <v>39109330100</v>
      </c>
      <c r="C2277" s="617" t="s">
        <v>3945</v>
      </c>
      <c r="D2277" s="617" t="s">
        <v>78</v>
      </c>
      <c r="E2277" s="617" t="s">
        <v>4856</v>
      </c>
      <c r="F2277" s="617" t="s">
        <v>26</v>
      </c>
      <c r="G2277" s="624"/>
      <c r="O2277" s="616"/>
      <c r="P2277" s="616"/>
      <c r="Q2277" s="616"/>
      <c r="AA2277" s="624"/>
      <c r="AB2277" s="663">
        <v>39113165200</v>
      </c>
      <c r="AC2277" s="663" t="s">
        <v>7209</v>
      </c>
      <c r="AD2277" s="663" t="s">
        <v>4948</v>
      </c>
      <c r="AE2277" s="663" t="s">
        <v>4931</v>
      </c>
      <c r="AF2277" s="663" t="s">
        <v>4962</v>
      </c>
    </row>
    <row r="2278" spans="1:32" s="608" customFormat="1" x14ac:dyDescent="0.25">
      <c r="A2278" s="624"/>
      <c r="B2278" s="617">
        <v>39109340100</v>
      </c>
      <c r="C2278" s="617" t="s">
        <v>3946</v>
      </c>
      <c r="D2278" s="617" t="s">
        <v>78</v>
      </c>
      <c r="E2278" s="617" t="s">
        <v>4856</v>
      </c>
      <c r="F2278" s="617" t="s">
        <v>26</v>
      </c>
      <c r="G2278" s="624"/>
      <c r="O2278" s="616"/>
      <c r="P2278" s="616"/>
      <c r="Q2278" s="616"/>
      <c r="AA2278" s="624"/>
      <c r="AB2278" s="663">
        <v>39113980000</v>
      </c>
      <c r="AC2278" s="663" t="s">
        <v>7210</v>
      </c>
      <c r="AD2278" s="663"/>
      <c r="AE2278" s="663" t="s">
        <v>5237</v>
      </c>
      <c r="AF2278" s="663" t="s">
        <v>4946</v>
      </c>
    </row>
    <row r="2279" spans="1:32" s="608" customFormat="1" x14ac:dyDescent="0.25">
      <c r="A2279" s="624"/>
      <c r="B2279" s="617">
        <v>39109345000</v>
      </c>
      <c r="C2279" s="617" t="s">
        <v>3947</v>
      </c>
      <c r="D2279" s="617" t="s">
        <v>78</v>
      </c>
      <c r="E2279" s="617" t="s">
        <v>4856</v>
      </c>
      <c r="F2279" s="617" t="s">
        <v>26</v>
      </c>
      <c r="G2279" s="624"/>
      <c r="O2279" s="616"/>
      <c r="P2279" s="616"/>
      <c r="Q2279" s="616"/>
      <c r="AA2279" s="624"/>
      <c r="AB2279" s="663">
        <v>39115968800</v>
      </c>
      <c r="AC2279" s="663" t="s">
        <v>7211</v>
      </c>
      <c r="AD2279" s="663" t="s">
        <v>4927</v>
      </c>
      <c r="AE2279" s="663" t="s">
        <v>4934</v>
      </c>
      <c r="AF2279" s="663" t="s">
        <v>4929</v>
      </c>
    </row>
    <row r="2280" spans="1:32" s="608" customFormat="1" x14ac:dyDescent="0.25">
      <c r="A2280" s="624"/>
      <c r="B2280" s="617">
        <v>39109350101</v>
      </c>
      <c r="C2280" s="617" t="s">
        <v>3948</v>
      </c>
      <c r="D2280" s="617" t="s">
        <v>78</v>
      </c>
      <c r="E2280" s="617" t="s">
        <v>4856</v>
      </c>
      <c r="F2280" s="617" t="s">
        <v>26</v>
      </c>
      <c r="G2280" s="624"/>
      <c r="O2280" s="616"/>
      <c r="P2280" s="616"/>
      <c r="Q2280" s="616"/>
      <c r="AA2280" s="624"/>
      <c r="AB2280" s="663">
        <v>39115968900</v>
      </c>
      <c r="AC2280" s="663" t="s">
        <v>7212</v>
      </c>
      <c r="AD2280" s="663" t="s">
        <v>4927</v>
      </c>
      <c r="AE2280" s="663" t="s">
        <v>4934</v>
      </c>
      <c r="AF2280" s="663" t="s">
        <v>4929</v>
      </c>
    </row>
    <row r="2281" spans="1:32" s="608" customFormat="1" x14ac:dyDescent="0.25">
      <c r="A2281" s="624"/>
      <c r="B2281" s="617">
        <v>39109350102</v>
      </c>
      <c r="C2281" s="617" t="s">
        <v>3949</v>
      </c>
      <c r="D2281" s="617" t="s">
        <v>78</v>
      </c>
      <c r="E2281" s="617" t="s">
        <v>4856</v>
      </c>
      <c r="F2281" s="617" t="s">
        <v>26</v>
      </c>
      <c r="G2281" s="624"/>
      <c r="O2281" s="616"/>
      <c r="P2281" s="616"/>
      <c r="Q2281" s="616"/>
      <c r="AA2281" s="624"/>
      <c r="AB2281" s="663">
        <v>39115969000</v>
      </c>
      <c r="AC2281" s="663" t="s">
        <v>7213</v>
      </c>
      <c r="AD2281" s="663" t="s">
        <v>4927</v>
      </c>
      <c r="AE2281" s="663" t="s">
        <v>4928</v>
      </c>
      <c r="AF2281" s="663" t="s">
        <v>4929</v>
      </c>
    </row>
    <row r="2282" spans="1:32" s="608" customFormat="1" x14ac:dyDescent="0.25">
      <c r="A2282" s="624"/>
      <c r="B2282" s="617">
        <v>39109355001</v>
      </c>
      <c r="C2282" s="617" t="s">
        <v>3950</v>
      </c>
      <c r="D2282" s="617" t="s">
        <v>78</v>
      </c>
      <c r="E2282" s="617" t="s">
        <v>4856</v>
      </c>
      <c r="F2282" s="617" t="s">
        <v>26</v>
      </c>
      <c r="G2282" s="624"/>
      <c r="O2282" s="616"/>
      <c r="P2282" s="616"/>
      <c r="Q2282" s="616"/>
      <c r="AA2282" s="624"/>
      <c r="AB2282" s="663">
        <v>39115969100</v>
      </c>
      <c r="AC2282" s="663" t="s">
        <v>7214</v>
      </c>
      <c r="AD2282" s="663" t="s">
        <v>4927</v>
      </c>
      <c r="AE2282" s="663" t="s">
        <v>4931</v>
      </c>
      <c r="AF2282" s="663" t="s">
        <v>4929</v>
      </c>
    </row>
    <row r="2283" spans="1:32" s="608" customFormat="1" x14ac:dyDescent="0.25">
      <c r="A2283" s="624"/>
      <c r="B2283" s="617">
        <v>39109355002</v>
      </c>
      <c r="C2283" s="617" t="s">
        <v>3951</v>
      </c>
      <c r="D2283" s="617" t="s">
        <v>78</v>
      </c>
      <c r="E2283" s="617" t="s">
        <v>4856</v>
      </c>
      <c r="F2283" s="617" t="s">
        <v>26</v>
      </c>
      <c r="G2283" s="624"/>
      <c r="O2283" s="616"/>
      <c r="P2283" s="616"/>
      <c r="Q2283" s="616"/>
      <c r="AA2283" s="624"/>
      <c r="AB2283" s="663">
        <v>39117965000</v>
      </c>
      <c r="AC2283" s="663" t="s">
        <v>7215</v>
      </c>
      <c r="AD2283" s="663" t="s">
        <v>4950</v>
      </c>
      <c r="AE2283" s="663" t="s">
        <v>4931</v>
      </c>
      <c r="AF2283" s="663" t="s">
        <v>4929</v>
      </c>
    </row>
    <row r="2284" spans="1:32" s="608" customFormat="1" x14ac:dyDescent="0.25">
      <c r="A2284" s="624"/>
      <c r="B2284" s="617">
        <v>39109365001</v>
      </c>
      <c r="C2284" s="617" t="s">
        <v>3952</v>
      </c>
      <c r="D2284" s="617" t="s">
        <v>78</v>
      </c>
      <c r="E2284" s="617" t="s">
        <v>4856</v>
      </c>
      <c r="F2284" s="617" t="s">
        <v>26</v>
      </c>
      <c r="G2284" s="624"/>
      <c r="O2284" s="616"/>
      <c r="P2284" s="616"/>
      <c r="Q2284" s="616"/>
      <c r="AA2284" s="624"/>
      <c r="AB2284" s="663">
        <v>39117965100</v>
      </c>
      <c r="AC2284" s="663" t="s">
        <v>7216</v>
      </c>
      <c r="AD2284" s="663" t="s">
        <v>4950</v>
      </c>
      <c r="AE2284" s="663" t="s">
        <v>4934</v>
      </c>
      <c r="AF2284" s="663" t="s">
        <v>4929</v>
      </c>
    </row>
    <row r="2285" spans="1:32" s="608" customFormat="1" x14ac:dyDescent="0.25">
      <c r="A2285" s="624"/>
      <c r="B2285" s="617">
        <v>39109365002</v>
      </c>
      <c r="C2285" s="617" t="s">
        <v>3953</v>
      </c>
      <c r="D2285" s="617" t="s">
        <v>78</v>
      </c>
      <c r="E2285" s="617" t="s">
        <v>4856</v>
      </c>
      <c r="F2285" s="617" t="s">
        <v>26</v>
      </c>
      <c r="G2285" s="624"/>
      <c r="O2285" s="616"/>
      <c r="P2285" s="616"/>
      <c r="Q2285" s="616"/>
      <c r="AA2285" s="624"/>
      <c r="AB2285" s="663">
        <v>39117965200</v>
      </c>
      <c r="AC2285" s="663" t="s">
        <v>7217</v>
      </c>
      <c r="AD2285" s="663" t="s">
        <v>4950</v>
      </c>
      <c r="AE2285" s="663" t="s">
        <v>4942</v>
      </c>
      <c r="AF2285" s="663" t="s">
        <v>4929</v>
      </c>
    </row>
    <row r="2286" spans="1:32" s="608" customFormat="1" x14ac:dyDescent="0.25">
      <c r="A2286" s="624"/>
      <c r="B2286" s="617">
        <v>39109365101</v>
      </c>
      <c r="C2286" s="617" t="s">
        <v>3954</v>
      </c>
      <c r="D2286" s="617" t="s">
        <v>78</v>
      </c>
      <c r="E2286" s="617" t="s">
        <v>4856</v>
      </c>
      <c r="F2286" s="617" t="s">
        <v>26</v>
      </c>
      <c r="G2286" s="624"/>
      <c r="O2286" s="616"/>
      <c r="P2286" s="616"/>
      <c r="Q2286" s="616"/>
      <c r="AA2286" s="624"/>
      <c r="AB2286" s="663">
        <v>39117965300</v>
      </c>
      <c r="AC2286" s="663" t="s">
        <v>7218</v>
      </c>
      <c r="AD2286" s="663" t="s">
        <v>4950</v>
      </c>
      <c r="AE2286" s="663" t="s">
        <v>4942</v>
      </c>
      <c r="AF2286" s="663" t="s">
        <v>4929</v>
      </c>
    </row>
    <row r="2287" spans="1:32" s="608" customFormat="1" x14ac:dyDescent="0.25">
      <c r="A2287" s="624"/>
      <c r="B2287" s="617">
        <v>39109365102</v>
      </c>
      <c r="C2287" s="617" t="s">
        <v>3955</v>
      </c>
      <c r="D2287" s="617" t="s">
        <v>78</v>
      </c>
      <c r="E2287" s="617" t="s">
        <v>4856</v>
      </c>
      <c r="F2287" s="617" t="s">
        <v>26</v>
      </c>
      <c r="G2287" s="624"/>
      <c r="O2287" s="616"/>
      <c r="P2287" s="616"/>
      <c r="Q2287" s="616"/>
      <c r="AA2287" s="624"/>
      <c r="AB2287" s="663">
        <v>39117965400</v>
      </c>
      <c r="AC2287" s="663" t="s">
        <v>7219</v>
      </c>
      <c r="AD2287" s="663" t="s">
        <v>4948</v>
      </c>
      <c r="AE2287" s="663" t="s">
        <v>4934</v>
      </c>
      <c r="AF2287" s="663" t="s">
        <v>4929</v>
      </c>
    </row>
    <row r="2288" spans="1:32" s="608" customFormat="1" x14ac:dyDescent="0.25">
      <c r="A2288" s="624"/>
      <c r="B2288" s="617">
        <v>39109365200</v>
      </c>
      <c r="C2288" s="617" t="s">
        <v>3956</v>
      </c>
      <c r="D2288" s="617" t="s">
        <v>78</v>
      </c>
      <c r="E2288" s="617" t="s">
        <v>4856</v>
      </c>
      <c r="F2288" s="617" t="s">
        <v>26</v>
      </c>
      <c r="G2288" s="624"/>
      <c r="O2288" s="616"/>
      <c r="P2288" s="616"/>
      <c r="Q2288" s="616"/>
      <c r="AA2288" s="624"/>
      <c r="AB2288" s="663">
        <v>39117965500</v>
      </c>
      <c r="AC2288" s="663" t="s">
        <v>7220</v>
      </c>
      <c r="AD2288" s="663" t="s">
        <v>4948</v>
      </c>
      <c r="AE2288" s="663" t="s">
        <v>4942</v>
      </c>
      <c r="AF2288" s="663" t="s">
        <v>4929</v>
      </c>
    </row>
    <row r="2289" spans="1:32" s="608" customFormat="1" x14ac:dyDescent="0.25">
      <c r="A2289" s="624"/>
      <c r="B2289" s="617">
        <v>39109365301</v>
      </c>
      <c r="C2289" s="617" t="s">
        <v>3957</v>
      </c>
      <c r="D2289" s="617" t="s">
        <v>78</v>
      </c>
      <c r="E2289" s="617" t="s">
        <v>4856</v>
      </c>
      <c r="F2289" s="617" t="s">
        <v>26</v>
      </c>
      <c r="G2289" s="624"/>
      <c r="O2289" s="616"/>
      <c r="P2289" s="616"/>
      <c r="Q2289" s="616"/>
      <c r="AA2289" s="624"/>
      <c r="AB2289" s="663">
        <v>39119911000</v>
      </c>
      <c r="AC2289" s="663" t="s">
        <v>7221</v>
      </c>
      <c r="AD2289" s="663" t="s">
        <v>4950</v>
      </c>
      <c r="AE2289" s="663" t="s">
        <v>4939</v>
      </c>
      <c r="AF2289" s="663" t="s">
        <v>4929</v>
      </c>
    </row>
    <row r="2290" spans="1:32" s="608" customFormat="1" x14ac:dyDescent="0.25">
      <c r="A2290" s="624"/>
      <c r="B2290" s="617">
        <v>39109365302</v>
      </c>
      <c r="C2290" s="617" t="s">
        <v>3958</v>
      </c>
      <c r="D2290" s="617" t="s">
        <v>78</v>
      </c>
      <c r="E2290" s="617" t="s">
        <v>4856</v>
      </c>
      <c r="F2290" s="617" t="s">
        <v>26</v>
      </c>
      <c r="G2290" s="624"/>
      <c r="O2290" s="616"/>
      <c r="P2290" s="616"/>
      <c r="Q2290" s="616"/>
      <c r="AA2290" s="624"/>
      <c r="AB2290" s="663">
        <v>39119911100</v>
      </c>
      <c r="AC2290" s="663" t="s">
        <v>7222</v>
      </c>
      <c r="AD2290" s="663" t="s">
        <v>4948</v>
      </c>
      <c r="AE2290" s="663" t="s">
        <v>4931</v>
      </c>
      <c r="AF2290" s="663" t="s">
        <v>4929</v>
      </c>
    </row>
    <row r="2291" spans="1:32" s="608" customFormat="1" x14ac:dyDescent="0.25">
      <c r="A2291" s="624"/>
      <c r="B2291" s="617">
        <v>39109380100</v>
      </c>
      <c r="C2291" s="617" t="s">
        <v>3959</v>
      </c>
      <c r="D2291" s="617" t="s">
        <v>78</v>
      </c>
      <c r="E2291" s="617" t="s">
        <v>4856</v>
      </c>
      <c r="F2291" s="617" t="s">
        <v>26</v>
      </c>
      <c r="G2291" s="624"/>
      <c r="O2291" s="616"/>
      <c r="P2291" s="616"/>
      <c r="Q2291" s="616"/>
      <c r="AA2291" s="624"/>
      <c r="AB2291" s="663">
        <v>39119911200</v>
      </c>
      <c r="AC2291" s="663" t="s">
        <v>7223</v>
      </c>
      <c r="AD2291" s="663" t="s">
        <v>4950</v>
      </c>
      <c r="AE2291" s="663" t="s">
        <v>4942</v>
      </c>
      <c r="AF2291" s="663" t="s">
        <v>4929</v>
      </c>
    </row>
    <row r="2292" spans="1:32" s="608" customFormat="1" x14ac:dyDescent="0.25">
      <c r="A2292" s="624"/>
      <c r="B2292" s="617">
        <v>39109390100</v>
      </c>
      <c r="C2292" s="617" t="s">
        <v>3960</v>
      </c>
      <c r="D2292" s="617" t="s">
        <v>78</v>
      </c>
      <c r="E2292" s="617" t="s">
        <v>4856</v>
      </c>
      <c r="F2292" s="617" t="s">
        <v>26</v>
      </c>
      <c r="G2292" s="624"/>
      <c r="O2292" s="616"/>
      <c r="P2292" s="616"/>
      <c r="Q2292" s="616"/>
      <c r="AA2292" s="624"/>
      <c r="AB2292" s="663">
        <v>39119911300</v>
      </c>
      <c r="AC2292" s="663" t="s">
        <v>7224</v>
      </c>
      <c r="AD2292" s="663" t="s">
        <v>4950</v>
      </c>
      <c r="AE2292" s="663" t="s">
        <v>4934</v>
      </c>
      <c r="AF2292" s="663" t="s">
        <v>4929</v>
      </c>
    </row>
    <row r="2293" spans="1:32" s="608" customFormat="1" x14ac:dyDescent="0.25">
      <c r="A2293" s="624"/>
      <c r="B2293" s="617">
        <v>39111966600</v>
      </c>
      <c r="C2293" s="617" t="s">
        <v>3961</v>
      </c>
      <c r="D2293" s="617" t="s">
        <v>79</v>
      </c>
      <c r="E2293" s="617" t="s">
        <v>1672</v>
      </c>
      <c r="F2293" s="617" t="s">
        <v>26</v>
      </c>
      <c r="G2293" s="624"/>
      <c r="O2293" s="616"/>
      <c r="P2293" s="616"/>
      <c r="Q2293" s="616"/>
      <c r="AA2293" s="624"/>
      <c r="AB2293" s="663">
        <v>39119911400</v>
      </c>
      <c r="AC2293" s="663" t="s">
        <v>7225</v>
      </c>
      <c r="AD2293" s="663" t="s">
        <v>4927</v>
      </c>
      <c r="AE2293" s="663" t="s">
        <v>4939</v>
      </c>
      <c r="AF2293" s="663" t="s">
        <v>4929</v>
      </c>
    </row>
    <row r="2294" spans="1:32" s="608" customFormat="1" x14ac:dyDescent="0.25">
      <c r="A2294" s="624"/>
      <c r="B2294" s="617">
        <v>39111966700</v>
      </c>
      <c r="C2294" s="617" t="s">
        <v>3962</v>
      </c>
      <c r="D2294" s="617" t="s">
        <v>79</v>
      </c>
      <c r="E2294" s="617" t="s">
        <v>1672</v>
      </c>
      <c r="F2294" s="617" t="s">
        <v>26</v>
      </c>
      <c r="G2294" s="624"/>
      <c r="O2294" s="616"/>
      <c r="P2294" s="616"/>
      <c r="Q2294" s="616"/>
      <c r="AA2294" s="624"/>
      <c r="AB2294" s="663">
        <v>39119911500</v>
      </c>
      <c r="AC2294" s="663" t="s">
        <v>7226</v>
      </c>
      <c r="AD2294" s="663" t="s">
        <v>4948</v>
      </c>
      <c r="AE2294" s="663" t="s">
        <v>4928</v>
      </c>
      <c r="AF2294" s="663" t="s">
        <v>4929</v>
      </c>
    </row>
    <row r="2295" spans="1:32" s="608" customFormat="1" x14ac:dyDescent="0.25">
      <c r="A2295" s="624"/>
      <c r="B2295" s="617">
        <v>39111966800</v>
      </c>
      <c r="C2295" s="617" t="s">
        <v>3963</v>
      </c>
      <c r="D2295" s="617" t="s">
        <v>79</v>
      </c>
      <c r="E2295" s="617" t="s">
        <v>1672</v>
      </c>
      <c r="F2295" s="617" t="s">
        <v>26</v>
      </c>
      <c r="G2295" s="624"/>
      <c r="O2295" s="616"/>
      <c r="P2295" s="616"/>
      <c r="Q2295" s="616"/>
      <c r="AA2295" s="624"/>
      <c r="AB2295" s="663">
        <v>39119911600</v>
      </c>
      <c r="AC2295" s="663" t="s">
        <v>7227</v>
      </c>
      <c r="AD2295" s="663" t="s">
        <v>4938</v>
      </c>
      <c r="AE2295" s="663" t="s">
        <v>4934</v>
      </c>
      <c r="AF2295" s="663" t="s">
        <v>4929</v>
      </c>
    </row>
    <row r="2296" spans="1:32" s="608" customFormat="1" x14ac:dyDescent="0.25">
      <c r="A2296" s="624"/>
      <c r="B2296" s="617">
        <v>39111966900</v>
      </c>
      <c r="C2296" s="617" t="s">
        <v>3964</v>
      </c>
      <c r="D2296" s="617" t="s">
        <v>79</v>
      </c>
      <c r="E2296" s="617" t="s">
        <v>1672</v>
      </c>
      <c r="F2296" s="617" t="s">
        <v>26</v>
      </c>
      <c r="G2296" s="624"/>
      <c r="O2296" s="616"/>
      <c r="P2296" s="616"/>
      <c r="Q2296" s="616"/>
      <c r="AA2296" s="624"/>
      <c r="AB2296" s="663">
        <v>39119911700</v>
      </c>
      <c r="AC2296" s="663" t="s">
        <v>7228</v>
      </c>
      <c r="AD2296" s="663" t="s">
        <v>4948</v>
      </c>
      <c r="AE2296" s="663" t="s">
        <v>4939</v>
      </c>
      <c r="AF2296" s="663" t="s">
        <v>4983</v>
      </c>
    </row>
    <row r="2297" spans="1:32" s="608" customFormat="1" x14ac:dyDescent="0.25">
      <c r="A2297" s="624"/>
      <c r="B2297" s="617">
        <v>39113000100</v>
      </c>
      <c r="C2297" s="617" t="s">
        <v>3965</v>
      </c>
      <c r="D2297" s="617" t="s">
        <v>80</v>
      </c>
      <c r="E2297" s="617" t="s">
        <v>4856</v>
      </c>
      <c r="F2297" s="617" t="s">
        <v>24</v>
      </c>
      <c r="G2297" s="624"/>
      <c r="O2297" s="616"/>
      <c r="P2297" s="616"/>
      <c r="Q2297" s="616"/>
      <c r="AA2297" s="624"/>
      <c r="AB2297" s="663">
        <v>39119911800</v>
      </c>
      <c r="AC2297" s="663" t="s">
        <v>7229</v>
      </c>
      <c r="AD2297" s="663" t="s">
        <v>4950</v>
      </c>
      <c r="AE2297" s="663" t="s">
        <v>4942</v>
      </c>
      <c r="AF2297" s="663" t="s">
        <v>4983</v>
      </c>
    </row>
    <row r="2298" spans="1:32" s="608" customFormat="1" x14ac:dyDescent="0.25">
      <c r="A2298" s="624"/>
      <c r="B2298" s="617">
        <v>39113000200</v>
      </c>
      <c r="C2298" s="617" t="s">
        <v>3966</v>
      </c>
      <c r="D2298" s="617" t="s">
        <v>80</v>
      </c>
      <c r="E2298" s="617" t="s">
        <v>4856</v>
      </c>
      <c r="F2298" s="617" t="s">
        <v>24</v>
      </c>
      <c r="G2298" s="624"/>
      <c r="O2298" s="616"/>
      <c r="P2298" s="616"/>
      <c r="Q2298" s="616"/>
      <c r="AA2298" s="624"/>
      <c r="AB2298" s="663">
        <v>39119911900</v>
      </c>
      <c r="AC2298" s="663" t="s">
        <v>7230</v>
      </c>
      <c r="AD2298" s="663" t="s">
        <v>4950</v>
      </c>
      <c r="AE2298" s="663" t="s">
        <v>4934</v>
      </c>
      <c r="AF2298" s="663" t="s">
        <v>4929</v>
      </c>
    </row>
    <row r="2299" spans="1:32" s="608" customFormat="1" x14ac:dyDescent="0.25">
      <c r="A2299" s="624"/>
      <c r="B2299" s="617">
        <v>39113000300</v>
      </c>
      <c r="C2299" s="617" t="s">
        <v>3967</v>
      </c>
      <c r="D2299" s="617" t="s">
        <v>80</v>
      </c>
      <c r="E2299" s="617" t="s">
        <v>4856</v>
      </c>
      <c r="F2299" s="617" t="s">
        <v>24</v>
      </c>
      <c r="G2299" s="624"/>
      <c r="O2299" s="616"/>
      <c r="P2299" s="616"/>
      <c r="Q2299" s="616"/>
      <c r="AA2299" s="624"/>
      <c r="AB2299" s="663">
        <v>39119912000</v>
      </c>
      <c r="AC2299" s="663" t="s">
        <v>7231</v>
      </c>
      <c r="AD2299" s="663" t="s">
        <v>4950</v>
      </c>
      <c r="AE2299" s="663" t="s">
        <v>4939</v>
      </c>
      <c r="AF2299" s="663" t="s">
        <v>4929</v>
      </c>
    </row>
    <row r="2300" spans="1:32" s="608" customFormat="1" x14ac:dyDescent="0.25">
      <c r="A2300" s="624"/>
      <c r="B2300" s="617">
        <v>39113000400</v>
      </c>
      <c r="C2300" s="617" t="s">
        <v>3968</v>
      </c>
      <c r="D2300" s="617" t="s">
        <v>80</v>
      </c>
      <c r="E2300" s="617" t="s">
        <v>4856</v>
      </c>
      <c r="F2300" s="617" t="s">
        <v>24</v>
      </c>
      <c r="G2300" s="624"/>
      <c r="O2300" s="616"/>
      <c r="P2300" s="616"/>
      <c r="Q2300" s="616"/>
      <c r="AA2300" s="624"/>
      <c r="AB2300" s="663">
        <v>39119912100</v>
      </c>
      <c r="AC2300" s="663" t="s">
        <v>7232</v>
      </c>
      <c r="AD2300" s="663" t="s">
        <v>4927</v>
      </c>
      <c r="AE2300" s="663" t="s">
        <v>4934</v>
      </c>
      <c r="AF2300" s="663" t="s">
        <v>4983</v>
      </c>
    </row>
    <row r="2301" spans="1:32" s="608" customFormat="1" x14ac:dyDescent="0.25">
      <c r="A2301" s="624"/>
      <c r="B2301" s="617">
        <v>39113000500</v>
      </c>
      <c r="C2301" s="617" t="s">
        <v>3969</v>
      </c>
      <c r="D2301" s="617" t="s">
        <v>80</v>
      </c>
      <c r="E2301" s="617" t="s">
        <v>4856</v>
      </c>
      <c r="F2301" s="617" t="s">
        <v>24</v>
      </c>
      <c r="G2301" s="624"/>
      <c r="O2301" s="616"/>
      <c r="P2301" s="616"/>
      <c r="Q2301" s="616"/>
      <c r="AA2301" s="624"/>
      <c r="AB2301" s="663">
        <v>39119912200</v>
      </c>
      <c r="AC2301" s="663" t="s">
        <v>7233</v>
      </c>
      <c r="AD2301" s="663" t="s">
        <v>4927</v>
      </c>
      <c r="AE2301" s="663" t="s">
        <v>4928</v>
      </c>
      <c r="AF2301" s="663" t="s">
        <v>4929</v>
      </c>
    </row>
    <row r="2302" spans="1:32" s="608" customFormat="1" x14ac:dyDescent="0.25">
      <c r="A2302" s="624"/>
      <c r="B2302" s="617">
        <v>39113000600</v>
      </c>
      <c r="C2302" s="617" t="s">
        <v>3970</v>
      </c>
      <c r="D2302" s="617" t="s">
        <v>80</v>
      </c>
      <c r="E2302" s="617" t="s">
        <v>4856</v>
      </c>
      <c r="F2302" s="617" t="s">
        <v>26</v>
      </c>
      <c r="G2302" s="624"/>
      <c r="O2302" s="616"/>
      <c r="P2302" s="616"/>
      <c r="Q2302" s="616"/>
      <c r="AA2302" s="624"/>
      <c r="AB2302" s="663">
        <v>39119912300</v>
      </c>
      <c r="AC2302" s="663" t="s">
        <v>7234</v>
      </c>
      <c r="AD2302" s="663" t="s">
        <v>4950</v>
      </c>
      <c r="AE2302" s="663" t="s">
        <v>4934</v>
      </c>
      <c r="AF2302" s="663" t="s">
        <v>4929</v>
      </c>
    </row>
    <row r="2303" spans="1:32" s="608" customFormat="1" x14ac:dyDescent="0.25">
      <c r="A2303" s="624"/>
      <c r="B2303" s="617">
        <v>39113000700</v>
      </c>
      <c r="C2303" s="617" t="s">
        <v>3971</v>
      </c>
      <c r="D2303" s="617" t="s">
        <v>80</v>
      </c>
      <c r="E2303" s="617" t="s">
        <v>4856</v>
      </c>
      <c r="F2303" s="617" t="s">
        <v>24</v>
      </c>
      <c r="G2303" s="624"/>
      <c r="O2303" s="616"/>
      <c r="P2303" s="616"/>
      <c r="Q2303" s="616"/>
      <c r="AA2303" s="624"/>
      <c r="AB2303" s="663">
        <v>39119912400</v>
      </c>
      <c r="AC2303" s="663" t="s">
        <v>7235</v>
      </c>
      <c r="AD2303" s="663" t="s">
        <v>4950</v>
      </c>
      <c r="AE2303" s="663" t="s">
        <v>4942</v>
      </c>
      <c r="AF2303" s="663" t="s">
        <v>4929</v>
      </c>
    </row>
    <row r="2304" spans="1:32" s="608" customFormat="1" x14ac:dyDescent="0.25">
      <c r="A2304" s="624"/>
      <c r="B2304" s="617">
        <v>39113000801</v>
      </c>
      <c r="C2304" s="617" t="s">
        <v>3972</v>
      </c>
      <c r="D2304" s="617" t="s">
        <v>80</v>
      </c>
      <c r="E2304" s="617" t="s">
        <v>4856</v>
      </c>
      <c r="F2304" s="617" t="s">
        <v>24</v>
      </c>
      <c r="G2304" s="624"/>
      <c r="O2304" s="616"/>
      <c r="P2304" s="616"/>
      <c r="Q2304" s="616"/>
      <c r="AA2304" s="624"/>
      <c r="AB2304" s="663">
        <v>39119912500</v>
      </c>
      <c r="AC2304" s="663" t="s">
        <v>7236</v>
      </c>
      <c r="AD2304" s="663" t="s">
        <v>4927</v>
      </c>
      <c r="AE2304" s="663" t="s">
        <v>4931</v>
      </c>
      <c r="AF2304" s="663" t="s">
        <v>4929</v>
      </c>
    </row>
    <row r="2305" spans="1:32" s="608" customFormat="1" x14ac:dyDescent="0.25">
      <c r="A2305" s="624"/>
      <c r="B2305" s="617">
        <v>39113000802</v>
      </c>
      <c r="C2305" s="617" t="s">
        <v>3973</v>
      </c>
      <c r="D2305" s="617" t="s">
        <v>80</v>
      </c>
      <c r="E2305" s="617" t="s">
        <v>4856</v>
      </c>
      <c r="F2305" s="617" t="s">
        <v>24</v>
      </c>
      <c r="G2305" s="624"/>
      <c r="O2305" s="616"/>
      <c r="P2305" s="616"/>
      <c r="Q2305" s="616"/>
      <c r="AA2305" s="624"/>
      <c r="AB2305" s="663">
        <v>39119912600</v>
      </c>
      <c r="AC2305" s="663" t="s">
        <v>7237</v>
      </c>
      <c r="AD2305" s="663" t="s">
        <v>4950</v>
      </c>
      <c r="AE2305" s="663" t="s">
        <v>4934</v>
      </c>
      <c r="AF2305" s="663" t="s">
        <v>4929</v>
      </c>
    </row>
    <row r="2306" spans="1:32" s="608" customFormat="1" x14ac:dyDescent="0.25">
      <c r="A2306" s="624"/>
      <c r="B2306" s="617">
        <v>39113000900</v>
      </c>
      <c r="C2306" s="617" t="s">
        <v>3974</v>
      </c>
      <c r="D2306" s="617" t="s">
        <v>80</v>
      </c>
      <c r="E2306" s="617" t="s">
        <v>4856</v>
      </c>
      <c r="F2306" s="617" t="s">
        <v>24</v>
      </c>
      <c r="G2306" s="624"/>
      <c r="O2306" s="616"/>
      <c r="P2306" s="616"/>
      <c r="Q2306" s="616"/>
      <c r="AA2306" s="624"/>
      <c r="AB2306" s="663">
        <v>39119912700</v>
      </c>
      <c r="AC2306" s="663" t="s">
        <v>7238</v>
      </c>
      <c r="AD2306" s="663" t="s">
        <v>4948</v>
      </c>
      <c r="AE2306" s="663" t="s">
        <v>4942</v>
      </c>
      <c r="AF2306" s="663" t="s">
        <v>4929</v>
      </c>
    </row>
    <row r="2307" spans="1:32" s="608" customFormat="1" x14ac:dyDescent="0.25">
      <c r="A2307" s="624"/>
      <c r="B2307" s="617">
        <v>39113001000</v>
      </c>
      <c r="C2307" s="617" t="s">
        <v>3975</v>
      </c>
      <c r="D2307" s="617" t="s">
        <v>80</v>
      </c>
      <c r="E2307" s="617" t="s">
        <v>4856</v>
      </c>
      <c r="F2307" s="617" t="s">
        <v>24</v>
      </c>
      <c r="G2307" s="624"/>
      <c r="O2307" s="616"/>
      <c r="P2307" s="616"/>
      <c r="Q2307" s="616"/>
      <c r="AA2307" s="624"/>
      <c r="AB2307" s="663">
        <v>39119912800</v>
      </c>
      <c r="AC2307" s="663" t="s">
        <v>7239</v>
      </c>
      <c r="AD2307" s="663" t="s">
        <v>4941</v>
      </c>
      <c r="AE2307" s="663" t="s">
        <v>4931</v>
      </c>
      <c r="AF2307" s="663" t="s">
        <v>4929</v>
      </c>
    </row>
    <row r="2308" spans="1:32" s="608" customFormat="1" x14ac:dyDescent="0.25">
      <c r="A2308" s="624"/>
      <c r="B2308" s="617">
        <v>39113001100</v>
      </c>
      <c r="C2308" s="617" t="s">
        <v>3976</v>
      </c>
      <c r="D2308" s="617" t="s">
        <v>80</v>
      </c>
      <c r="E2308" s="617" t="s">
        <v>4856</v>
      </c>
      <c r="F2308" s="617" t="s">
        <v>24</v>
      </c>
      <c r="G2308" s="624"/>
      <c r="O2308" s="616"/>
      <c r="P2308" s="616"/>
      <c r="Q2308" s="616"/>
      <c r="AA2308" s="624"/>
      <c r="AB2308" s="663">
        <v>39121968300</v>
      </c>
      <c r="AC2308" s="663" t="s">
        <v>7240</v>
      </c>
      <c r="AD2308" s="663" t="s">
        <v>4927</v>
      </c>
      <c r="AE2308" s="663" t="s">
        <v>4939</v>
      </c>
      <c r="AF2308" s="663" t="s">
        <v>4929</v>
      </c>
    </row>
    <row r="2309" spans="1:32" s="608" customFormat="1" x14ac:dyDescent="0.25">
      <c r="A2309" s="624"/>
      <c r="B2309" s="617">
        <v>39113001200</v>
      </c>
      <c r="C2309" s="617" t="s">
        <v>3977</v>
      </c>
      <c r="D2309" s="617" t="s">
        <v>80</v>
      </c>
      <c r="E2309" s="617" t="s">
        <v>4856</v>
      </c>
      <c r="F2309" s="617" t="s">
        <v>24</v>
      </c>
      <c r="G2309" s="624"/>
      <c r="O2309" s="616"/>
      <c r="P2309" s="616"/>
      <c r="Q2309" s="616"/>
      <c r="AA2309" s="624"/>
      <c r="AB2309" s="663">
        <v>39121968400</v>
      </c>
      <c r="AC2309" s="663" t="s">
        <v>7241</v>
      </c>
      <c r="AD2309" s="663" t="s">
        <v>4950</v>
      </c>
      <c r="AE2309" s="663" t="s">
        <v>4934</v>
      </c>
      <c r="AF2309" s="663" t="s">
        <v>4929</v>
      </c>
    </row>
    <row r="2310" spans="1:32" s="608" customFormat="1" x14ac:dyDescent="0.25">
      <c r="A2310" s="624"/>
      <c r="B2310" s="617">
        <v>39113001501</v>
      </c>
      <c r="C2310" s="617" t="s">
        <v>3978</v>
      </c>
      <c r="D2310" s="617" t="s">
        <v>80</v>
      </c>
      <c r="E2310" s="617" t="s">
        <v>4856</v>
      </c>
      <c r="F2310" s="617" t="s">
        <v>24</v>
      </c>
      <c r="G2310" s="624"/>
      <c r="O2310" s="616"/>
      <c r="P2310" s="616"/>
      <c r="Q2310" s="616"/>
      <c r="AA2310" s="624"/>
      <c r="AB2310" s="663">
        <v>39121968500</v>
      </c>
      <c r="AC2310" s="663" t="s">
        <v>7242</v>
      </c>
      <c r="AD2310" s="663" t="s">
        <v>4927</v>
      </c>
      <c r="AE2310" s="663" t="s">
        <v>4939</v>
      </c>
      <c r="AF2310" s="663" t="s">
        <v>4929</v>
      </c>
    </row>
    <row r="2311" spans="1:32" s="608" customFormat="1" x14ac:dyDescent="0.25">
      <c r="A2311" s="624"/>
      <c r="B2311" s="617">
        <v>39113001600</v>
      </c>
      <c r="C2311" s="617" t="s">
        <v>3979</v>
      </c>
      <c r="D2311" s="617" t="s">
        <v>80</v>
      </c>
      <c r="E2311" s="617" t="s">
        <v>4856</v>
      </c>
      <c r="F2311" s="617" t="s">
        <v>26</v>
      </c>
      <c r="G2311" s="624"/>
      <c r="O2311" s="616"/>
      <c r="P2311" s="616"/>
      <c r="Q2311" s="616"/>
      <c r="AA2311" s="624"/>
      <c r="AB2311" s="663">
        <v>39123050100</v>
      </c>
      <c r="AC2311" s="663" t="s">
        <v>7243</v>
      </c>
      <c r="AD2311" s="663" t="s">
        <v>4938</v>
      </c>
      <c r="AE2311" s="663" t="s">
        <v>4931</v>
      </c>
      <c r="AF2311" s="663" t="s">
        <v>4929</v>
      </c>
    </row>
    <row r="2312" spans="1:32" s="608" customFormat="1" x14ac:dyDescent="0.25">
      <c r="A2312" s="624"/>
      <c r="B2312" s="617">
        <v>39113001700</v>
      </c>
      <c r="C2312" s="617" t="s">
        <v>3980</v>
      </c>
      <c r="D2312" s="617" t="s">
        <v>80</v>
      </c>
      <c r="E2312" s="617" t="s">
        <v>4856</v>
      </c>
      <c r="F2312" s="617" t="s">
        <v>24</v>
      </c>
      <c r="G2312" s="624"/>
      <c r="O2312" s="616"/>
      <c r="P2312" s="616"/>
      <c r="Q2312" s="616"/>
      <c r="AA2312" s="624"/>
      <c r="AB2312" s="663">
        <v>39123050201</v>
      </c>
      <c r="AC2312" s="663" t="s">
        <v>7244</v>
      </c>
      <c r="AD2312" s="663" t="s">
        <v>4938</v>
      </c>
      <c r="AE2312" s="663" t="s">
        <v>4928</v>
      </c>
      <c r="AF2312" s="663" t="s">
        <v>4929</v>
      </c>
    </row>
    <row r="2313" spans="1:32" s="608" customFormat="1" x14ac:dyDescent="0.25">
      <c r="A2313" s="624"/>
      <c r="B2313" s="617">
        <v>39113001801</v>
      </c>
      <c r="C2313" s="617" t="s">
        <v>3981</v>
      </c>
      <c r="D2313" s="617" t="s">
        <v>80</v>
      </c>
      <c r="E2313" s="617" t="s">
        <v>4856</v>
      </c>
      <c r="F2313" s="617" t="s">
        <v>24</v>
      </c>
      <c r="G2313" s="624"/>
      <c r="O2313" s="616"/>
      <c r="P2313" s="616"/>
      <c r="Q2313" s="616"/>
      <c r="AA2313" s="624"/>
      <c r="AB2313" s="663">
        <v>39123050202</v>
      </c>
      <c r="AC2313" s="663" t="s">
        <v>7245</v>
      </c>
      <c r="AD2313" s="663" t="s">
        <v>4938</v>
      </c>
      <c r="AE2313" s="663" t="s">
        <v>4939</v>
      </c>
      <c r="AF2313" s="663" t="s">
        <v>4929</v>
      </c>
    </row>
    <row r="2314" spans="1:32" s="608" customFormat="1" x14ac:dyDescent="0.25">
      <c r="A2314" s="624"/>
      <c r="B2314" s="617">
        <v>39113001802</v>
      </c>
      <c r="C2314" s="617" t="s">
        <v>3982</v>
      </c>
      <c r="D2314" s="617" t="s">
        <v>80</v>
      </c>
      <c r="E2314" s="617" t="s">
        <v>4856</v>
      </c>
      <c r="F2314" s="617" t="s">
        <v>24</v>
      </c>
      <c r="G2314" s="624"/>
      <c r="O2314" s="616"/>
      <c r="P2314" s="616"/>
      <c r="Q2314" s="616"/>
      <c r="AA2314" s="624"/>
      <c r="AB2314" s="663">
        <v>39123050301</v>
      </c>
      <c r="AC2314" s="663" t="s">
        <v>7246</v>
      </c>
      <c r="AD2314" s="663" t="s">
        <v>4941</v>
      </c>
      <c r="AE2314" s="663" t="s">
        <v>4942</v>
      </c>
      <c r="AF2314" s="663" t="s">
        <v>4929</v>
      </c>
    </row>
    <row r="2315" spans="1:32" s="608" customFormat="1" x14ac:dyDescent="0.25">
      <c r="A2315" s="624"/>
      <c r="B2315" s="617">
        <v>39113001900</v>
      </c>
      <c r="C2315" s="617" t="s">
        <v>3983</v>
      </c>
      <c r="D2315" s="617" t="s">
        <v>80</v>
      </c>
      <c r="E2315" s="617" t="s">
        <v>4856</v>
      </c>
      <c r="F2315" s="617" t="s">
        <v>24</v>
      </c>
      <c r="G2315" s="624"/>
      <c r="O2315" s="616"/>
      <c r="P2315" s="616"/>
      <c r="Q2315" s="616"/>
      <c r="AA2315" s="624"/>
      <c r="AB2315" s="663">
        <v>39123050302</v>
      </c>
      <c r="AC2315" s="663" t="s">
        <v>7247</v>
      </c>
      <c r="AD2315" s="663" t="s">
        <v>4938</v>
      </c>
      <c r="AE2315" s="663" t="s">
        <v>4931</v>
      </c>
      <c r="AF2315" s="663" t="s">
        <v>4929</v>
      </c>
    </row>
    <row r="2316" spans="1:32" s="608" customFormat="1" x14ac:dyDescent="0.25">
      <c r="A2316" s="624"/>
      <c r="B2316" s="617">
        <v>39113002000</v>
      </c>
      <c r="C2316" s="617" t="s">
        <v>3984</v>
      </c>
      <c r="D2316" s="617" t="s">
        <v>80</v>
      </c>
      <c r="E2316" s="617" t="s">
        <v>4856</v>
      </c>
      <c r="F2316" s="617" t="s">
        <v>24</v>
      </c>
      <c r="G2316" s="624"/>
      <c r="O2316" s="616"/>
      <c r="P2316" s="616"/>
      <c r="Q2316" s="616"/>
      <c r="AA2316" s="624"/>
      <c r="AB2316" s="663">
        <v>39123050500</v>
      </c>
      <c r="AC2316" s="663" t="s">
        <v>7248</v>
      </c>
      <c r="AD2316" s="663" t="s">
        <v>4941</v>
      </c>
      <c r="AE2316" s="663" t="s">
        <v>4934</v>
      </c>
      <c r="AF2316" s="663" t="s">
        <v>4983</v>
      </c>
    </row>
    <row r="2317" spans="1:32" s="608" customFormat="1" x14ac:dyDescent="0.25">
      <c r="A2317" s="624"/>
      <c r="B2317" s="617">
        <v>39113002200</v>
      </c>
      <c r="C2317" s="617" t="s">
        <v>3985</v>
      </c>
      <c r="D2317" s="617" t="s">
        <v>80</v>
      </c>
      <c r="E2317" s="617" t="s">
        <v>4856</v>
      </c>
      <c r="F2317" s="617" t="s">
        <v>24</v>
      </c>
      <c r="G2317" s="624"/>
      <c r="O2317" s="616"/>
      <c r="P2317" s="616"/>
      <c r="Q2317" s="616"/>
      <c r="AA2317" s="624"/>
      <c r="AB2317" s="663">
        <v>39123050600</v>
      </c>
      <c r="AC2317" s="663" t="s">
        <v>7249</v>
      </c>
      <c r="AD2317" s="663" t="s">
        <v>4950</v>
      </c>
      <c r="AE2317" s="663" t="s">
        <v>4928</v>
      </c>
      <c r="AF2317" s="663" t="s">
        <v>4983</v>
      </c>
    </row>
    <row r="2318" spans="1:32" s="608" customFormat="1" x14ac:dyDescent="0.25">
      <c r="A2318" s="624"/>
      <c r="B2318" s="617">
        <v>39113002300</v>
      </c>
      <c r="C2318" s="617" t="s">
        <v>3986</v>
      </c>
      <c r="D2318" s="617" t="s">
        <v>80</v>
      </c>
      <c r="E2318" s="617" t="s">
        <v>4856</v>
      </c>
      <c r="F2318" s="617" t="s">
        <v>24</v>
      </c>
      <c r="G2318" s="624"/>
      <c r="O2318" s="616"/>
      <c r="P2318" s="616"/>
      <c r="Q2318" s="616"/>
      <c r="AA2318" s="624"/>
      <c r="AB2318" s="663">
        <v>39123050700</v>
      </c>
      <c r="AC2318" s="663" t="s">
        <v>7250</v>
      </c>
      <c r="AD2318" s="663" t="s">
        <v>4941</v>
      </c>
      <c r="AE2318" s="663" t="s">
        <v>4934</v>
      </c>
      <c r="AF2318" s="663" t="s">
        <v>4929</v>
      </c>
    </row>
    <row r="2319" spans="1:32" s="608" customFormat="1" x14ac:dyDescent="0.25">
      <c r="A2319" s="624"/>
      <c r="B2319" s="617">
        <v>39113002400</v>
      </c>
      <c r="C2319" s="617" t="s">
        <v>3987</v>
      </c>
      <c r="D2319" s="617" t="s">
        <v>80</v>
      </c>
      <c r="E2319" s="617" t="s">
        <v>4856</v>
      </c>
      <c r="F2319" s="617" t="s">
        <v>24</v>
      </c>
      <c r="G2319" s="624"/>
      <c r="O2319" s="616"/>
      <c r="P2319" s="616"/>
      <c r="Q2319" s="616"/>
      <c r="AA2319" s="624"/>
      <c r="AB2319" s="663">
        <v>39123050800</v>
      </c>
      <c r="AC2319" s="663" t="s">
        <v>7251</v>
      </c>
      <c r="AD2319" s="663" t="s">
        <v>4941</v>
      </c>
      <c r="AE2319" s="663" t="s">
        <v>4928</v>
      </c>
      <c r="AF2319" s="663" t="s">
        <v>4929</v>
      </c>
    </row>
    <row r="2320" spans="1:32" s="608" customFormat="1" x14ac:dyDescent="0.25">
      <c r="A2320" s="624"/>
      <c r="B2320" s="617">
        <v>39113002500</v>
      </c>
      <c r="C2320" s="617" t="s">
        <v>3988</v>
      </c>
      <c r="D2320" s="617" t="s">
        <v>80</v>
      </c>
      <c r="E2320" s="617" t="s">
        <v>4856</v>
      </c>
      <c r="F2320" s="617" t="s">
        <v>26</v>
      </c>
      <c r="G2320" s="624"/>
      <c r="O2320" s="616"/>
      <c r="P2320" s="616"/>
      <c r="Q2320" s="616"/>
      <c r="AA2320" s="624"/>
      <c r="AB2320" s="663">
        <v>39123050900</v>
      </c>
      <c r="AC2320" s="663" t="s">
        <v>7252</v>
      </c>
      <c r="AD2320" s="663" t="s">
        <v>4938</v>
      </c>
      <c r="AE2320" s="663" t="s">
        <v>4942</v>
      </c>
      <c r="AF2320" s="663" t="s">
        <v>4929</v>
      </c>
    </row>
    <row r="2321" spans="1:32" s="608" customFormat="1" x14ac:dyDescent="0.25">
      <c r="A2321" s="624"/>
      <c r="B2321" s="617">
        <v>39113002600</v>
      </c>
      <c r="C2321" s="617" t="s">
        <v>3989</v>
      </c>
      <c r="D2321" s="617" t="s">
        <v>80</v>
      </c>
      <c r="E2321" s="617" t="s">
        <v>4856</v>
      </c>
      <c r="F2321" s="617" t="s">
        <v>24</v>
      </c>
      <c r="G2321" s="624"/>
      <c r="O2321" s="616"/>
      <c r="P2321" s="616"/>
      <c r="Q2321" s="616"/>
      <c r="AA2321" s="624"/>
      <c r="AB2321" s="663">
        <v>39123051000</v>
      </c>
      <c r="AC2321" s="663" t="s">
        <v>7253</v>
      </c>
      <c r="AD2321" s="663" t="s">
        <v>4941</v>
      </c>
      <c r="AE2321" s="663" t="s">
        <v>4934</v>
      </c>
      <c r="AF2321" s="663" t="s">
        <v>4929</v>
      </c>
    </row>
    <row r="2322" spans="1:32" s="608" customFormat="1" x14ac:dyDescent="0.25">
      <c r="A2322" s="624"/>
      <c r="B2322" s="617">
        <v>39113002700</v>
      </c>
      <c r="C2322" s="617" t="s">
        <v>3990</v>
      </c>
      <c r="D2322" s="617" t="s">
        <v>80</v>
      </c>
      <c r="E2322" s="617" t="s">
        <v>4856</v>
      </c>
      <c r="F2322" s="617" t="s">
        <v>26</v>
      </c>
      <c r="G2322" s="624"/>
      <c r="O2322" s="616"/>
      <c r="P2322" s="616"/>
      <c r="Q2322" s="616"/>
      <c r="AA2322" s="624"/>
      <c r="AB2322" s="663">
        <v>39123051100</v>
      </c>
      <c r="AC2322" s="663" t="s">
        <v>7254</v>
      </c>
      <c r="AD2322" s="663" t="s">
        <v>4941</v>
      </c>
      <c r="AE2322" s="663" t="s">
        <v>4939</v>
      </c>
      <c r="AF2322" s="663" t="s">
        <v>4929</v>
      </c>
    </row>
    <row r="2323" spans="1:32" s="608" customFormat="1" x14ac:dyDescent="0.25">
      <c r="A2323" s="624"/>
      <c r="B2323" s="617">
        <v>39113002800</v>
      </c>
      <c r="C2323" s="617" t="s">
        <v>3991</v>
      </c>
      <c r="D2323" s="617" t="s">
        <v>80</v>
      </c>
      <c r="E2323" s="617" t="s">
        <v>4856</v>
      </c>
      <c r="F2323" s="617" t="s">
        <v>26</v>
      </c>
      <c r="G2323" s="624"/>
      <c r="O2323" s="616"/>
      <c r="P2323" s="616"/>
      <c r="Q2323" s="616"/>
      <c r="AA2323" s="624"/>
      <c r="AB2323" s="663">
        <v>39123051200</v>
      </c>
      <c r="AC2323" s="663" t="s">
        <v>7255</v>
      </c>
      <c r="AD2323" s="663" t="s">
        <v>4948</v>
      </c>
      <c r="AE2323" s="663" t="s">
        <v>4942</v>
      </c>
      <c r="AF2323" s="663" t="s">
        <v>4929</v>
      </c>
    </row>
    <row r="2324" spans="1:32" s="608" customFormat="1" x14ac:dyDescent="0.25">
      <c r="A2324" s="624"/>
      <c r="B2324" s="617">
        <v>39113002900</v>
      </c>
      <c r="C2324" s="617" t="s">
        <v>3992</v>
      </c>
      <c r="D2324" s="617" t="s">
        <v>80</v>
      </c>
      <c r="E2324" s="617" t="s">
        <v>4856</v>
      </c>
      <c r="F2324" s="617" t="s">
        <v>26</v>
      </c>
      <c r="G2324" s="624"/>
      <c r="O2324" s="616"/>
      <c r="P2324" s="616"/>
      <c r="Q2324" s="616"/>
      <c r="AA2324" s="624"/>
      <c r="AB2324" s="663">
        <v>39125960100</v>
      </c>
      <c r="AC2324" s="663" t="s">
        <v>7256</v>
      </c>
      <c r="AD2324" s="663" t="s">
        <v>4950</v>
      </c>
      <c r="AE2324" s="663" t="s">
        <v>4928</v>
      </c>
      <c r="AF2324" s="663" t="s">
        <v>4929</v>
      </c>
    </row>
    <row r="2325" spans="1:32" s="608" customFormat="1" x14ac:dyDescent="0.25">
      <c r="A2325" s="624"/>
      <c r="B2325" s="617">
        <v>39113003000</v>
      </c>
      <c r="C2325" s="617" t="s">
        <v>3993</v>
      </c>
      <c r="D2325" s="617" t="s">
        <v>80</v>
      </c>
      <c r="E2325" s="617" t="s">
        <v>4856</v>
      </c>
      <c r="F2325" s="617" t="s">
        <v>26</v>
      </c>
      <c r="G2325" s="624"/>
      <c r="O2325" s="616"/>
      <c r="P2325" s="616"/>
      <c r="Q2325" s="616"/>
      <c r="AA2325" s="624"/>
      <c r="AB2325" s="663">
        <v>39125960200</v>
      </c>
      <c r="AC2325" s="663" t="s">
        <v>7257</v>
      </c>
      <c r="AD2325" s="663" t="s">
        <v>4948</v>
      </c>
      <c r="AE2325" s="663" t="s">
        <v>4934</v>
      </c>
      <c r="AF2325" s="663" t="s">
        <v>4929</v>
      </c>
    </row>
    <row r="2326" spans="1:32" s="608" customFormat="1" x14ac:dyDescent="0.25">
      <c r="A2326" s="624"/>
      <c r="B2326" s="617">
        <v>39113003100</v>
      </c>
      <c r="C2326" s="617" t="s">
        <v>3994</v>
      </c>
      <c r="D2326" s="617" t="s">
        <v>80</v>
      </c>
      <c r="E2326" s="617" t="s">
        <v>4856</v>
      </c>
      <c r="F2326" s="617" t="s">
        <v>24</v>
      </c>
      <c r="G2326" s="624"/>
      <c r="O2326" s="616"/>
      <c r="P2326" s="616"/>
      <c r="Q2326" s="616"/>
      <c r="AA2326" s="624"/>
      <c r="AB2326" s="663">
        <v>39125960300</v>
      </c>
      <c r="AC2326" s="663" t="s">
        <v>7258</v>
      </c>
      <c r="AD2326" s="663" t="s">
        <v>4941</v>
      </c>
      <c r="AE2326" s="663" t="s">
        <v>4939</v>
      </c>
      <c r="AF2326" s="663" t="s">
        <v>4929</v>
      </c>
    </row>
    <row r="2327" spans="1:32" s="608" customFormat="1" x14ac:dyDescent="0.25">
      <c r="A2327" s="624"/>
      <c r="B2327" s="617">
        <v>39113003201</v>
      </c>
      <c r="C2327" s="617" t="s">
        <v>3995</v>
      </c>
      <c r="D2327" s="617" t="s">
        <v>80</v>
      </c>
      <c r="E2327" s="617" t="s">
        <v>4856</v>
      </c>
      <c r="F2327" s="617" t="s">
        <v>26</v>
      </c>
      <c r="G2327" s="624"/>
      <c r="O2327" s="616"/>
      <c r="P2327" s="616"/>
      <c r="Q2327" s="616"/>
      <c r="AA2327" s="624"/>
      <c r="AB2327" s="663">
        <v>39125960400</v>
      </c>
      <c r="AC2327" s="663" t="s">
        <v>7259</v>
      </c>
      <c r="AD2327" s="663" t="s">
        <v>4950</v>
      </c>
      <c r="AE2327" s="663" t="s">
        <v>4942</v>
      </c>
      <c r="AF2327" s="663" t="s">
        <v>4929</v>
      </c>
    </row>
    <row r="2328" spans="1:32" s="608" customFormat="1" x14ac:dyDescent="0.25">
      <c r="A2328" s="624"/>
      <c r="B2328" s="617">
        <v>39113003300</v>
      </c>
      <c r="C2328" s="617" t="s">
        <v>3996</v>
      </c>
      <c r="D2328" s="617" t="s">
        <v>80</v>
      </c>
      <c r="E2328" s="617" t="s">
        <v>4856</v>
      </c>
      <c r="F2328" s="617" t="s">
        <v>24</v>
      </c>
      <c r="G2328" s="624"/>
      <c r="O2328" s="616"/>
      <c r="P2328" s="616"/>
      <c r="Q2328" s="616"/>
      <c r="AA2328" s="624"/>
      <c r="AB2328" s="663">
        <v>39125960500</v>
      </c>
      <c r="AC2328" s="663" t="s">
        <v>7260</v>
      </c>
      <c r="AD2328" s="663" t="s">
        <v>4941</v>
      </c>
      <c r="AE2328" s="663" t="s">
        <v>4939</v>
      </c>
      <c r="AF2328" s="663" t="s">
        <v>4929</v>
      </c>
    </row>
    <row r="2329" spans="1:32" s="608" customFormat="1" x14ac:dyDescent="0.25">
      <c r="A2329" s="624"/>
      <c r="B2329" s="617">
        <v>39113003402</v>
      </c>
      <c r="C2329" s="617" t="s">
        <v>3997</v>
      </c>
      <c r="D2329" s="617" t="s">
        <v>80</v>
      </c>
      <c r="E2329" s="617" t="s">
        <v>4856</v>
      </c>
      <c r="F2329" s="617" t="s">
        <v>24</v>
      </c>
      <c r="G2329" s="624"/>
      <c r="O2329" s="616"/>
      <c r="P2329" s="616"/>
      <c r="Q2329" s="616"/>
      <c r="AA2329" s="624"/>
      <c r="AB2329" s="663">
        <v>39127965800</v>
      </c>
      <c r="AC2329" s="663" t="s">
        <v>7261</v>
      </c>
      <c r="AD2329" s="663" t="s">
        <v>4950</v>
      </c>
      <c r="AE2329" s="663" t="s">
        <v>4934</v>
      </c>
      <c r="AF2329" s="663" t="s">
        <v>4929</v>
      </c>
    </row>
    <row r="2330" spans="1:32" s="608" customFormat="1" x14ac:dyDescent="0.25">
      <c r="A2330" s="624"/>
      <c r="B2330" s="617">
        <v>39113003403</v>
      </c>
      <c r="C2330" s="617" t="s">
        <v>3998</v>
      </c>
      <c r="D2330" s="617" t="s">
        <v>80</v>
      </c>
      <c r="E2330" s="617" t="s">
        <v>4856</v>
      </c>
      <c r="F2330" s="617" t="s">
        <v>26</v>
      </c>
      <c r="G2330" s="624"/>
      <c r="O2330" s="616"/>
      <c r="P2330" s="616"/>
      <c r="Q2330" s="616"/>
      <c r="AA2330" s="624"/>
      <c r="AB2330" s="663">
        <v>39127965900</v>
      </c>
      <c r="AC2330" s="663" t="s">
        <v>7262</v>
      </c>
      <c r="AD2330" s="663" t="s">
        <v>4927</v>
      </c>
      <c r="AE2330" s="663" t="s">
        <v>4942</v>
      </c>
      <c r="AF2330" s="663" t="s">
        <v>4929</v>
      </c>
    </row>
    <row r="2331" spans="1:32" s="608" customFormat="1" x14ac:dyDescent="0.25">
      <c r="A2331" s="624"/>
      <c r="B2331" s="617">
        <v>39113003404</v>
      </c>
      <c r="C2331" s="617" t="s">
        <v>3999</v>
      </c>
      <c r="D2331" s="617" t="s">
        <v>80</v>
      </c>
      <c r="E2331" s="617" t="s">
        <v>4856</v>
      </c>
      <c r="F2331" s="617" t="s">
        <v>24</v>
      </c>
      <c r="G2331" s="624"/>
      <c r="O2331" s="616"/>
      <c r="P2331" s="616"/>
      <c r="Q2331" s="616"/>
      <c r="AA2331" s="624"/>
      <c r="AB2331" s="663">
        <v>39127966000</v>
      </c>
      <c r="AC2331" s="663" t="s">
        <v>7263</v>
      </c>
      <c r="AD2331" s="663" t="s">
        <v>4927</v>
      </c>
      <c r="AE2331" s="663" t="s">
        <v>4928</v>
      </c>
      <c r="AF2331" s="663" t="s">
        <v>4929</v>
      </c>
    </row>
    <row r="2332" spans="1:32" s="608" customFormat="1" x14ac:dyDescent="0.25">
      <c r="A2332" s="624"/>
      <c r="B2332" s="617">
        <v>39113003500</v>
      </c>
      <c r="C2332" s="617" t="s">
        <v>4000</v>
      </c>
      <c r="D2332" s="617" t="s">
        <v>80</v>
      </c>
      <c r="E2332" s="617" t="s">
        <v>4856</v>
      </c>
      <c r="F2332" s="617" t="s">
        <v>24</v>
      </c>
      <c r="G2332" s="624"/>
      <c r="O2332" s="616"/>
      <c r="P2332" s="616"/>
      <c r="Q2332" s="616"/>
      <c r="AA2332" s="624"/>
      <c r="AB2332" s="663">
        <v>39127966100</v>
      </c>
      <c r="AC2332" s="663" t="s">
        <v>7264</v>
      </c>
      <c r="AD2332" s="663" t="s">
        <v>4927</v>
      </c>
      <c r="AE2332" s="663" t="s">
        <v>4939</v>
      </c>
      <c r="AF2332" s="663" t="s">
        <v>4929</v>
      </c>
    </row>
    <row r="2333" spans="1:32" s="608" customFormat="1" x14ac:dyDescent="0.25">
      <c r="A2333" s="624"/>
      <c r="B2333" s="617">
        <v>39113003800</v>
      </c>
      <c r="C2333" s="617" t="s">
        <v>4001</v>
      </c>
      <c r="D2333" s="617" t="s">
        <v>80</v>
      </c>
      <c r="E2333" s="617" t="s">
        <v>4856</v>
      </c>
      <c r="F2333" s="617" t="s">
        <v>24</v>
      </c>
      <c r="G2333" s="624"/>
      <c r="O2333" s="616"/>
      <c r="P2333" s="616"/>
      <c r="Q2333" s="616"/>
      <c r="AA2333" s="624"/>
      <c r="AB2333" s="663">
        <v>39127966200</v>
      </c>
      <c r="AC2333" s="663" t="s">
        <v>7265</v>
      </c>
      <c r="AD2333" s="663" t="s">
        <v>4927</v>
      </c>
      <c r="AE2333" s="663" t="s">
        <v>4934</v>
      </c>
      <c r="AF2333" s="663" t="s">
        <v>4929</v>
      </c>
    </row>
    <row r="2334" spans="1:32" s="608" customFormat="1" x14ac:dyDescent="0.25">
      <c r="A2334" s="624"/>
      <c r="B2334" s="617">
        <v>39113003900</v>
      </c>
      <c r="C2334" s="617" t="s">
        <v>4002</v>
      </c>
      <c r="D2334" s="617" t="s">
        <v>80</v>
      </c>
      <c r="E2334" s="617" t="s">
        <v>4856</v>
      </c>
      <c r="F2334" s="617" t="s">
        <v>24</v>
      </c>
      <c r="G2334" s="624"/>
      <c r="O2334" s="616"/>
      <c r="P2334" s="616"/>
      <c r="Q2334" s="616"/>
      <c r="AA2334" s="624"/>
      <c r="AB2334" s="663">
        <v>39127966300</v>
      </c>
      <c r="AC2334" s="663" t="s">
        <v>7266</v>
      </c>
      <c r="AD2334" s="663" t="s">
        <v>4927</v>
      </c>
      <c r="AE2334" s="663" t="s">
        <v>4942</v>
      </c>
      <c r="AF2334" s="663" t="s">
        <v>4929</v>
      </c>
    </row>
    <row r="2335" spans="1:32" s="608" customFormat="1" x14ac:dyDescent="0.25">
      <c r="A2335" s="624"/>
      <c r="B2335" s="617">
        <v>39113004100</v>
      </c>
      <c r="C2335" s="617" t="s">
        <v>4003</v>
      </c>
      <c r="D2335" s="617" t="s">
        <v>80</v>
      </c>
      <c r="E2335" s="617" t="s">
        <v>4856</v>
      </c>
      <c r="F2335" s="617" t="s">
        <v>24</v>
      </c>
      <c r="G2335" s="624"/>
      <c r="O2335" s="616"/>
      <c r="P2335" s="616"/>
      <c r="Q2335" s="616"/>
      <c r="AA2335" s="624"/>
      <c r="AB2335" s="663">
        <v>39129020100</v>
      </c>
      <c r="AC2335" s="663" t="s">
        <v>7267</v>
      </c>
      <c r="AD2335" s="663" t="s">
        <v>4927</v>
      </c>
      <c r="AE2335" s="663" t="s">
        <v>4931</v>
      </c>
      <c r="AF2335" s="663" t="s">
        <v>4983</v>
      </c>
    </row>
    <row r="2336" spans="1:32" s="608" customFormat="1" x14ac:dyDescent="0.25">
      <c r="A2336" s="624"/>
      <c r="B2336" s="617">
        <v>39113004200</v>
      </c>
      <c r="C2336" s="617" t="s">
        <v>4004</v>
      </c>
      <c r="D2336" s="617" t="s">
        <v>80</v>
      </c>
      <c r="E2336" s="617" t="s">
        <v>4856</v>
      </c>
      <c r="F2336" s="617" t="s">
        <v>24</v>
      </c>
      <c r="G2336" s="624"/>
      <c r="O2336" s="616"/>
      <c r="P2336" s="616"/>
      <c r="Q2336" s="616"/>
      <c r="AA2336" s="624"/>
      <c r="AB2336" s="663">
        <v>39129020200</v>
      </c>
      <c r="AC2336" s="663" t="s">
        <v>7268</v>
      </c>
      <c r="AD2336" s="663" t="s">
        <v>4927</v>
      </c>
      <c r="AE2336" s="663" t="s">
        <v>4934</v>
      </c>
      <c r="AF2336" s="663" t="s">
        <v>4983</v>
      </c>
    </row>
    <row r="2337" spans="1:32" s="608" customFormat="1" x14ac:dyDescent="0.25">
      <c r="A2337" s="624"/>
      <c r="B2337" s="617">
        <v>39113004300</v>
      </c>
      <c r="C2337" s="617" t="s">
        <v>4005</v>
      </c>
      <c r="D2337" s="617" t="s">
        <v>80</v>
      </c>
      <c r="E2337" s="617" t="s">
        <v>4856</v>
      </c>
      <c r="F2337" s="617" t="s">
        <v>24</v>
      </c>
      <c r="G2337" s="624"/>
      <c r="O2337" s="616"/>
      <c r="P2337" s="616"/>
      <c r="Q2337" s="616"/>
      <c r="AA2337" s="624"/>
      <c r="AB2337" s="663">
        <v>39129020310</v>
      </c>
      <c r="AC2337" s="663" t="s">
        <v>7269</v>
      </c>
      <c r="AD2337" s="663" t="s">
        <v>4948</v>
      </c>
      <c r="AE2337" s="663" t="s">
        <v>4928</v>
      </c>
      <c r="AF2337" s="663" t="s">
        <v>4929</v>
      </c>
    </row>
    <row r="2338" spans="1:32" s="608" customFormat="1" x14ac:dyDescent="0.25">
      <c r="A2338" s="624"/>
      <c r="B2338" s="617">
        <v>39113004400</v>
      </c>
      <c r="C2338" s="617" t="s">
        <v>4006</v>
      </c>
      <c r="D2338" s="617" t="s">
        <v>80</v>
      </c>
      <c r="E2338" s="617" t="s">
        <v>4856</v>
      </c>
      <c r="F2338" s="617" t="s">
        <v>24</v>
      </c>
      <c r="G2338" s="624"/>
      <c r="O2338" s="616"/>
      <c r="P2338" s="616"/>
      <c r="Q2338" s="616"/>
      <c r="AA2338" s="624"/>
      <c r="AB2338" s="663">
        <v>39129020320</v>
      </c>
      <c r="AC2338" s="663" t="s">
        <v>7270</v>
      </c>
      <c r="AD2338" s="663" t="s">
        <v>4938</v>
      </c>
      <c r="AE2338" s="663" t="s">
        <v>4931</v>
      </c>
      <c r="AF2338" s="663" t="s">
        <v>4929</v>
      </c>
    </row>
    <row r="2339" spans="1:32" s="608" customFormat="1" x14ac:dyDescent="0.25">
      <c r="A2339" s="624"/>
      <c r="B2339" s="617">
        <v>39113004600</v>
      </c>
      <c r="C2339" s="617" t="s">
        <v>4007</v>
      </c>
      <c r="D2339" s="617" t="s">
        <v>80</v>
      </c>
      <c r="E2339" s="617" t="s">
        <v>4856</v>
      </c>
      <c r="F2339" s="617" t="s">
        <v>24</v>
      </c>
      <c r="G2339" s="624"/>
      <c r="O2339" s="616"/>
      <c r="P2339" s="616"/>
      <c r="Q2339" s="616"/>
      <c r="AA2339" s="624"/>
      <c r="AB2339" s="663">
        <v>39129020400</v>
      </c>
      <c r="AC2339" s="663" t="s">
        <v>7271</v>
      </c>
      <c r="AD2339" s="663" t="s">
        <v>4950</v>
      </c>
      <c r="AE2339" s="663" t="s">
        <v>4928</v>
      </c>
      <c r="AF2339" s="663" t="s">
        <v>4929</v>
      </c>
    </row>
    <row r="2340" spans="1:32" s="608" customFormat="1" x14ac:dyDescent="0.25">
      <c r="A2340" s="624"/>
      <c r="B2340" s="617">
        <v>39113010100</v>
      </c>
      <c r="C2340" s="617" t="s">
        <v>4008</v>
      </c>
      <c r="D2340" s="617" t="s">
        <v>80</v>
      </c>
      <c r="E2340" s="617" t="s">
        <v>4856</v>
      </c>
      <c r="F2340" s="617" t="s">
        <v>26</v>
      </c>
      <c r="G2340" s="624"/>
      <c r="O2340" s="616"/>
      <c r="P2340" s="616"/>
      <c r="Q2340" s="616"/>
      <c r="AA2340" s="624"/>
      <c r="AB2340" s="663">
        <v>39129021100</v>
      </c>
      <c r="AC2340" s="663" t="s">
        <v>7272</v>
      </c>
      <c r="AD2340" s="663" t="s">
        <v>4941</v>
      </c>
      <c r="AE2340" s="663" t="s">
        <v>4931</v>
      </c>
      <c r="AF2340" s="663" t="s">
        <v>4929</v>
      </c>
    </row>
    <row r="2341" spans="1:32" s="608" customFormat="1" x14ac:dyDescent="0.25">
      <c r="A2341" s="624"/>
      <c r="B2341" s="617">
        <v>39113010200</v>
      </c>
      <c r="C2341" s="617" t="s">
        <v>4009</v>
      </c>
      <c r="D2341" s="617" t="s">
        <v>80</v>
      </c>
      <c r="E2341" s="617" t="s">
        <v>4856</v>
      </c>
      <c r="F2341" s="617" t="s">
        <v>26</v>
      </c>
      <c r="G2341" s="624"/>
      <c r="O2341" s="616"/>
      <c r="P2341" s="616"/>
      <c r="Q2341" s="616"/>
      <c r="AA2341" s="624"/>
      <c r="AB2341" s="663">
        <v>39129021200</v>
      </c>
      <c r="AC2341" s="663" t="s">
        <v>7273</v>
      </c>
      <c r="AD2341" s="663" t="s">
        <v>4948</v>
      </c>
      <c r="AE2341" s="663" t="s">
        <v>4931</v>
      </c>
      <c r="AF2341" s="663" t="s">
        <v>4929</v>
      </c>
    </row>
    <row r="2342" spans="1:32" s="608" customFormat="1" x14ac:dyDescent="0.25">
      <c r="A2342" s="624"/>
      <c r="B2342" s="617">
        <v>39113020100</v>
      </c>
      <c r="C2342" s="617" t="s">
        <v>4010</v>
      </c>
      <c r="D2342" s="617" t="s">
        <v>80</v>
      </c>
      <c r="E2342" s="617" t="s">
        <v>4856</v>
      </c>
      <c r="F2342" s="617" t="s">
        <v>26</v>
      </c>
      <c r="G2342" s="624"/>
      <c r="O2342" s="616"/>
      <c r="P2342" s="616"/>
      <c r="Q2342" s="616"/>
      <c r="AA2342" s="624"/>
      <c r="AB2342" s="663">
        <v>39129021300</v>
      </c>
      <c r="AC2342" s="663" t="s">
        <v>7274</v>
      </c>
      <c r="AD2342" s="663"/>
      <c r="AE2342" s="663" t="s">
        <v>5237</v>
      </c>
      <c r="AF2342" s="663" t="s">
        <v>4929</v>
      </c>
    </row>
    <row r="2343" spans="1:32" s="608" customFormat="1" x14ac:dyDescent="0.25">
      <c r="A2343" s="624"/>
      <c r="B2343" s="617">
        <v>39113020200</v>
      </c>
      <c r="C2343" s="617" t="s">
        <v>4011</v>
      </c>
      <c r="D2343" s="617" t="s">
        <v>80</v>
      </c>
      <c r="E2343" s="617" t="s">
        <v>4856</v>
      </c>
      <c r="F2343" s="617" t="s">
        <v>26</v>
      </c>
      <c r="G2343" s="624"/>
      <c r="O2343" s="616"/>
      <c r="P2343" s="616"/>
      <c r="Q2343" s="616"/>
      <c r="AA2343" s="624"/>
      <c r="AB2343" s="663">
        <v>39129021401</v>
      </c>
      <c r="AC2343" s="663" t="s">
        <v>7275</v>
      </c>
      <c r="AD2343" s="663" t="s">
        <v>4950</v>
      </c>
      <c r="AE2343" s="663" t="s">
        <v>4928</v>
      </c>
      <c r="AF2343" s="663" t="s">
        <v>4929</v>
      </c>
    </row>
    <row r="2344" spans="1:32" s="608" customFormat="1" x14ac:dyDescent="0.25">
      <c r="A2344" s="624"/>
      <c r="B2344" s="617">
        <v>39113020300</v>
      </c>
      <c r="C2344" s="617" t="s">
        <v>4012</v>
      </c>
      <c r="D2344" s="617" t="s">
        <v>80</v>
      </c>
      <c r="E2344" s="617" t="s">
        <v>4856</v>
      </c>
      <c r="F2344" s="617" t="s">
        <v>26</v>
      </c>
      <c r="G2344" s="624"/>
      <c r="O2344" s="616"/>
      <c r="P2344" s="616"/>
      <c r="Q2344" s="616"/>
      <c r="AA2344" s="624"/>
      <c r="AB2344" s="663">
        <v>39129021402</v>
      </c>
      <c r="AC2344" s="663" t="s">
        <v>7276</v>
      </c>
      <c r="AD2344" s="663" t="s">
        <v>4941</v>
      </c>
      <c r="AE2344" s="663" t="s">
        <v>4931</v>
      </c>
      <c r="AF2344" s="663" t="s">
        <v>4929</v>
      </c>
    </row>
    <row r="2345" spans="1:32" s="608" customFormat="1" x14ac:dyDescent="0.25">
      <c r="A2345" s="624"/>
      <c r="B2345" s="617">
        <v>39113020400</v>
      </c>
      <c r="C2345" s="617" t="s">
        <v>4013</v>
      </c>
      <c r="D2345" s="617" t="s">
        <v>80</v>
      </c>
      <c r="E2345" s="617" t="s">
        <v>4856</v>
      </c>
      <c r="F2345" s="617" t="s">
        <v>26</v>
      </c>
      <c r="G2345" s="624"/>
      <c r="O2345" s="616"/>
      <c r="P2345" s="616"/>
      <c r="Q2345" s="616"/>
      <c r="AA2345" s="624"/>
      <c r="AB2345" s="663">
        <v>39129021500</v>
      </c>
      <c r="AC2345" s="663" t="s">
        <v>7277</v>
      </c>
      <c r="AD2345" s="663" t="s">
        <v>4950</v>
      </c>
      <c r="AE2345" s="663" t="s">
        <v>4934</v>
      </c>
      <c r="AF2345" s="663" t="s">
        <v>4929</v>
      </c>
    </row>
    <row r="2346" spans="1:32" s="608" customFormat="1" x14ac:dyDescent="0.25">
      <c r="A2346" s="624"/>
      <c r="B2346" s="617">
        <v>39113020500</v>
      </c>
      <c r="C2346" s="617" t="s">
        <v>4014</v>
      </c>
      <c r="D2346" s="617" t="s">
        <v>80</v>
      </c>
      <c r="E2346" s="617" t="s">
        <v>4856</v>
      </c>
      <c r="F2346" s="617" t="s">
        <v>26</v>
      </c>
      <c r="G2346" s="624"/>
      <c r="O2346" s="616"/>
      <c r="P2346" s="616"/>
      <c r="Q2346" s="616"/>
      <c r="AA2346" s="624"/>
      <c r="AB2346" s="663">
        <v>39129021600</v>
      </c>
      <c r="AC2346" s="663" t="s">
        <v>7278</v>
      </c>
      <c r="AD2346" s="663" t="s">
        <v>4950</v>
      </c>
      <c r="AE2346" s="663" t="s">
        <v>4934</v>
      </c>
      <c r="AF2346" s="663" t="s">
        <v>4929</v>
      </c>
    </row>
    <row r="2347" spans="1:32" s="608" customFormat="1" x14ac:dyDescent="0.25">
      <c r="A2347" s="624"/>
      <c r="B2347" s="617">
        <v>39113020601</v>
      </c>
      <c r="C2347" s="617" t="s">
        <v>4015</v>
      </c>
      <c r="D2347" s="617" t="s">
        <v>80</v>
      </c>
      <c r="E2347" s="617" t="s">
        <v>4856</v>
      </c>
      <c r="F2347" s="617" t="s">
        <v>26</v>
      </c>
      <c r="G2347" s="624"/>
      <c r="O2347" s="616"/>
      <c r="P2347" s="616"/>
      <c r="Q2347" s="616"/>
      <c r="AA2347" s="624"/>
      <c r="AB2347" s="663">
        <v>39129021700</v>
      </c>
      <c r="AC2347" s="663" t="s">
        <v>7279</v>
      </c>
      <c r="AD2347" s="663" t="s">
        <v>4948</v>
      </c>
      <c r="AE2347" s="663" t="s">
        <v>4939</v>
      </c>
      <c r="AF2347" s="663" t="s">
        <v>4929</v>
      </c>
    </row>
    <row r="2348" spans="1:32" s="608" customFormat="1" x14ac:dyDescent="0.25">
      <c r="A2348" s="624"/>
      <c r="B2348" s="617">
        <v>39113020602</v>
      </c>
      <c r="C2348" s="617" t="s">
        <v>4016</v>
      </c>
      <c r="D2348" s="617" t="s">
        <v>80</v>
      </c>
      <c r="E2348" s="617" t="s">
        <v>4856</v>
      </c>
      <c r="F2348" s="617" t="s">
        <v>26</v>
      </c>
      <c r="G2348" s="624"/>
      <c r="O2348" s="616"/>
      <c r="P2348" s="616"/>
      <c r="Q2348" s="616"/>
      <c r="AA2348" s="624"/>
      <c r="AB2348" s="663">
        <v>39131952200</v>
      </c>
      <c r="AC2348" s="663" t="s">
        <v>7280</v>
      </c>
      <c r="AD2348" s="663" t="s">
        <v>4927</v>
      </c>
      <c r="AE2348" s="663" t="s">
        <v>4934</v>
      </c>
      <c r="AF2348" s="663" t="s">
        <v>4929</v>
      </c>
    </row>
    <row r="2349" spans="1:32" s="608" customFormat="1" x14ac:dyDescent="0.25">
      <c r="A2349" s="624"/>
      <c r="B2349" s="617">
        <v>39113020700</v>
      </c>
      <c r="C2349" s="617" t="s">
        <v>4017</v>
      </c>
      <c r="D2349" s="617" t="s">
        <v>80</v>
      </c>
      <c r="E2349" s="617" t="s">
        <v>4856</v>
      </c>
      <c r="F2349" s="617" t="s">
        <v>26</v>
      </c>
      <c r="G2349" s="624"/>
      <c r="O2349" s="616"/>
      <c r="P2349" s="616"/>
      <c r="Q2349" s="616"/>
      <c r="AA2349" s="624"/>
      <c r="AB2349" s="663">
        <v>39131952300</v>
      </c>
      <c r="AC2349" s="663" t="s">
        <v>7281</v>
      </c>
      <c r="AD2349" s="663" t="s">
        <v>4927</v>
      </c>
      <c r="AE2349" s="663" t="s">
        <v>4939</v>
      </c>
      <c r="AF2349" s="663" t="s">
        <v>4929</v>
      </c>
    </row>
    <row r="2350" spans="1:32" s="608" customFormat="1" x14ac:dyDescent="0.25">
      <c r="A2350" s="624"/>
      <c r="B2350" s="617">
        <v>39113020800</v>
      </c>
      <c r="C2350" s="617" t="s">
        <v>4018</v>
      </c>
      <c r="D2350" s="617" t="s">
        <v>80</v>
      </c>
      <c r="E2350" s="617" t="s">
        <v>4856</v>
      </c>
      <c r="F2350" s="617" t="s">
        <v>26</v>
      </c>
      <c r="G2350" s="624"/>
      <c r="O2350" s="616"/>
      <c r="P2350" s="616"/>
      <c r="Q2350" s="616"/>
      <c r="AA2350" s="624"/>
      <c r="AB2350" s="663">
        <v>39131952400</v>
      </c>
      <c r="AC2350" s="663" t="s">
        <v>7282</v>
      </c>
      <c r="AD2350" s="663" t="s">
        <v>4927</v>
      </c>
      <c r="AE2350" s="663" t="s">
        <v>4928</v>
      </c>
      <c r="AF2350" s="663" t="s">
        <v>4929</v>
      </c>
    </row>
    <row r="2351" spans="1:32" s="608" customFormat="1" x14ac:dyDescent="0.25">
      <c r="A2351" s="624"/>
      <c r="B2351" s="617">
        <v>39113020900</v>
      </c>
      <c r="C2351" s="617" t="s">
        <v>4019</v>
      </c>
      <c r="D2351" s="617" t="s">
        <v>80</v>
      </c>
      <c r="E2351" s="617" t="s">
        <v>4856</v>
      </c>
      <c r="F2351" s="617" t="s">
        <v>26</v>
      </c>
      <c r="G2351" s="624"/>
      <c r="O2351" s="616"/>
      <c r="P2351" s="616"/>
      <c r="Q2351" s="616"/>
      <c r="AA2351" s="624"/>
      <c r="AB2351" s="663">
        <v>39131952500</v>
      </c>
      <c r="AC2351" s="663" t="s">
        <v>7283</v>
      </c>
      <c r="AD2351" s="663" t="s">
        <v>4927</v>
      </c>
      <c r="AE2351" s="663" t="s">
        <v>4931</v>
      </c>
      <c r="AF2351" s="663" t="s">
        <v>4929</v>
      </c>
    </row>
    <row r="2352" spans="1:32" s="608" customFormat="1" x14ac:dyDescent="0.25">
      <c r="A2352" s="624"/>
      <c r="B2352" s="617">
        <v>39113021000</v>
      </c>
      <c r="C2352" s="617" t="s">
        <v>4020</v>
      </c>
      <c r="D2352" s="617" t="s">
        <v>80</v>
      </c>
      <c r="E2352" s="617" t="s">
        <v>4856</v>
      </c>
      <c r="F2352" s="617" t="s">
        <v>26</v>
      </c>
      <c r="G2352" s="624"/>
      <c r="O2352" s="616"/>
      <c r="P2352" s="616"/>
      <c r="Q2352" s="616"/>
      <c r="AA2352" s="624"/>
      <c r="AB2352" s="663">
        <v>39131952600</v>
      </c>
      <c r="AC2352" s="663" t="s">
        <v>7284</v>
      </c>
      <c r="AD2352" s="663" t="s">
        <v>4927</v>
      </c>
      <c r="AE2352" s="663" t="s">
        <v>4939</v>
      </c>
      <c r="AF2352" s="663" t="s">
        <v>4929</v>
      </c>
    </row>
    <row r="2353" spans="1:32" s="608" customFormat="1" x14ac:dyDescent="0.25">
      <c r="A2353" s="624"/>
      <c r="B2353" s="617">
        <v>39113021100</v>
      </c>
      <c r="C2353" s="617" t="s">
        <v>4021</v>
      </c>
      <c r="D2353" s="617" t="s">
        <v>80</v>
      </c>
      <c r="E2353" s="617" t="s">
        <v>4856</v>
      </c>
      <c r="F2353" s="617" t="s">
        <v>26</v>
      </c>
      <c r="G2353" s="624"/>
      <c r="O2353" s="616"/>
      <c r="P2353" s="616"/>
      <c r="Q2353" s="616"/>
      <c r="AA2353" s="624"/>
      <c r="AB2353" s="663">
        <v>39131952700</v>
      </c>
      <c r="AC2353" s="663" t="s">
        <v>7285</v>
      </c>
      <c r="AD2353" s="663" t="s">
        <v>4927</v>
      </c>
      <c r="AE2353" s="663" t="s">
        <v>4928</v>
      </c>
      <c r="AF2353" s="663" t="s">
        <v>4929</v>
      </c>
    </row>
    <row r="2354" spans="1:32" s="608" customFormat="1" x14ac:dyDescent="0.25">
      <c r="A2354" s="624"/>
      <c r="B2354" s="617">
        <v>39113021200</v>
      </c>
      <c r="C2354" s="617" t="s">
        <v>4022</v>
      </c>
      <c r="D2354" s="617" t="s">
        <v>80</v>
      </c>
      <c r="E2354" s="617" t="s">
        <v>4856</v>
      </c>
      <c r="F2354" s="617" t="s">
        <v>26</v>
      </c>
      <c r="G2354" s="624"/>
      <c r="O2354" s="616"/>
      <c r="P2354" s="616"/>
      <c r="Q2354" s="616"/>
      <c r="AA2354" s="624"/>
      <c r="AB2354" s="663">
        <v>39133600102</v>
      </c>
      <c r="AC2354" s="663" t="s">
        <v>7286</v>
      </c>
      <c r="AD2354" s="663" t="s">
        <v>4941</v>
      </c>
      <c r="AE2354" s="663" t="s">
        <v>4931</v>
      </c>
      <c r="AF2354" s="663" t="s">
        <v>4929</v>
      </c>
    </row>
    <row r="2355" spans="1:32" s="608" customFormat="1" x14ac:dyDescent="0.25">
      <c r="A2355" s="624"/>
      <c r="B2355" s="617">
        <v>39113021301</v>
      </c>
      <c r="C2355" s="617" t="s">
        <v>4023</v>
      </c>
      <c r="D2355" s="617" t="s">
        <v>80</v>
      </c>
      <c r="E2355" s="617" t="s">
        <v>4856</v>
      </c>
      <c r="F2355" s="617" t="s">
        <v>26</v>
      </c>
      <c r="G2355" s="624"/>
      <c r="O2355" s="616"/>
      <c r="P2355" s="616"/>
      <c r="Q2355" s="616"/>
      <c r="AA2355" s="624"/>
      <c r="AB2355" s="663">
        <v>39133600103</v>
      </c>
      <c r="AC2355" s="663" t="s">
        <v>7287</v>
      </c>
      <c r="AD2355" s="663" t="s">
        <v>4950</v>
      </c>
      <c r="AE2355" s="663" t="s">
        <v>4931</v>
      </c>
      <c r="AF2355" s="663" t="s">
        <v>4929</v>
      </c>
    </row>
    <row r="2356" spans="1:32" s="608" customFormat="1" x14ac:dyDescent="0.25">
      <c r="A2356" s="624"/>
      <c r="B2356" s="617">
        <v>39113021302</v>
      </c>
      <c r="C2356" s="617" t="s">
        <v>4024</v>
      </c>
      <c r="D2356" s="617" t="s">
        <v>80</v>
      </c>
      <c r="E2356" s="617" t="s">
        <v>4856</v>
      </c>
      <c r="F2356" s="617" t="s">
        <v>26</v>
      </c>
      <c r="G2356" s="624"/>
      <c r="O2356" s="616"/>
      <c r="P2356" s="616"/>
      <c r="Q2356" s="616"/>
      <c r="AA2356" s="624"/>
      <c r="AB2356" s="663">
        <v>39133600200</v>
      </c>
      <c r="AC2356" s="663" t="s">
        <v>7288</v>
      </c>
      <c r="AD2356" s="663" t="s">
        <v>4948</v>
      </c>
      <c r="AE2356" s="663" t="s">
        <v>4928</v>
      </c>
      <c r="AF2356" s="663" t="s">
        <v>4929</v>
      </c>
    </row>
    <row r="2357" spans="1:32" s="608" customFormat="1" x14ac:dyDescent="0.25">
      <c r="A2357" s="624"/>
      <c r="B2357" s="617">
        <v>39113021400</v>
      </c>
      <c r="C2357" s="617" t="s">
        <v>4025</v>
      </c>
      <c r="D2357" s="617" t="s">
        <v>80</v>
      </c>
      <c r="E2357" s="617" t="s">
        <v>4856</v>
      </c>
      <c r="F2357" s="617" t="s">
        <v>26</v>
      </c>
      <c r="G2357" s="624"/>
      <c r="O2357" s="616"/>
      <c r="P2357" s="616"/>
      <c r="Q2357" s="616"/>
      <c r="AA2357" s="624"/>
      <c r="AB2357" s="663">
        <v>39133600301</v>
      </c>
      <c r="AC2357" s="663" t="s">
        <v>7289</v>
      </c>
      <c r="AD2357" s="663" t="s">
        <v>4938</v>
      </c>
      <c r="AE2357" s="663" t="s">
        <v>4931</v>
      </c>
      <c r="AF2357" s="663" t="s">
        <v>4946</v>
      </c>
    </row>
    <row r="2358" spans="1:32" s="608" customFormat="1" x14ac:dyDescent="0.25">
      <c r="A2358" s="624"/>
      <c r="B2358" s="617">
        <v>39113021501</v>
      </c>
      <c r="C2358" s="617" t="s">
        <v>4026</v>
      </c>
      <c r="D2358" s="617" t="s">
        <v>80</v>
      </c>
      <c r="E2358" s="617" t="s">
        <v>4856</v>
      </c>
      <c r="F2358" s="617" t="s">
        <v>26</v>
      </c>
      <c r="G2358" s="624"/>
      <c r="O2358" s="616"/>
      <c r="P2358" s="616"/>
      <c r="Q2358" s="616"/>
      <c r="AA2358" s="624"/>
      <c r="AB2358" s="663">
        <v>39133600302</v>
      </c>
      <c r="AC2358" s="663" t="s">
        <v>7290</v>
      </c>
      <c r="AD2358" s="663" t="s">
        <v>4938</v>
      </c>
      <c r="AE2358" s="663" t="s">
        <v>4934</v>
      </c>
      <c r="AF2358" s="663" t="s">
        <v>4946</v>
      </c>
    </row>
    <row r="2359" spans="1:32" s="608" customFormat="1" x14ac:dyDescent="0.25">
      <c r="A2359" s="624"/>
      <c r="B2359" s="617">
        <v>39113021502</v>
      </c>
      <c r="C2359" s="617" t="s">
        <v>4027</v>
      </c>
      <c r="D2359" s="617" t="s">
        <v>80</v>
      </c>
      <c r="E2359" s="617" t="s">
        <v>4856</v>
      </c>
      <c r="F2359" s="617" t="s">
        <v>26</v>
      </c>
      <c r="G2359" s="624"/>
      <c r="O2359" s="616"/>
      <c r="P2359" s="616"/>
      <c r="Q2359" s="616"/>
      <c r="AA2359" s="624"/>
      <c r="AB2359" s="663">
        <v>39133600401</v>
      </c>
      <c r="AC2359" s="663" t="s">
        <v>7291</v>
      </c>
      <c r="AD2359" s="663" t="s">
        <v>4941</v>
      </c>
      <c r="AE2359" s="663" t="s">
        <v>4942</v>
      </c>
      <c r="AF2359" s="663" t="s">
        <v>4946</v>
      </c>
    </row>
    <row r="2360" spans="1:32" s="608" customFormat="1" x14ac:dyDescent="0.25">
      <c r="A2360" s="624"/>
      <c r="B2360" s="617">
        <v>39113021601</v>
      </c>
      <c r="C2360" s="617" t="s">
        <v>4028</v>
      </c>
      <c r="D2360" s="617" t="s">
        <v>80</v>
      </c>
      <c r="E2360" s="617" t="s">
        <v>4856</v>
      </c>
      <c r="F2360" s="617" t="s">
        <v>26</v>
      </c>
      <c r="G2360" s="624"/>
      <c r="O2360" s="616"/>
      <c r="P2360" s="616"/>
      <c r="Q2360" s="616"/>
      <c r="AA2360" s="624"/>
      <c r="AB2360" s="663">
        <v>39133600402</v>
      </c>
      <c r="AC2360" s="663" t="s">
        <v>7292</v>
      </c>
      <c r="AD2360" s="663" t="s">
        <v>4948</v>
      </c>
      <c r="AE2360" s="663" t="s">
        <v>4942</v>
      </c>
      <c r="AF2360" s="663" t="s">
        <v>4946</v>
      </c>
    </row>
    <row r="2361" spans="1:32" s="608" customFormat="1" x14ac:dyDescent="0.25">
      <c r="A2361" s="624"/>
      <c r="B2361" s="617">
        <v>39113021602</v>
      </c>
      <c r="C2361" s="617" t="s">
        <v>4029</v>
      </c>
      <c r="D2361" s="617" t="s">
        <v>80</v>
      </c>
      <c r="E2361" s="617" t="s">
        <v>4856</v>
      </c>
      <c r="F2361" s="617" t="s">
        <v>26</v>
      </c>
      <c r="G2361" s="624"/>
      <c r="O2361" s="616"/>
      <c r="P2361" s="616"/>
      <c r="Q2361" s="616"/>
      <c r="AA2361" s="624"/>
      <c r="AB2361" s="663">
        <v>39133600403</v>
      </c>
      <c r="AC2361" s="663" t="s">
        <v>7293</v>
      </c>
      <c r="AD2361" s="663" t="s">
        <v>4948</v>
      </c>
      <c r="AE2361" s="663" t="s">
        <v>4931</v>
      </c>
      <c r="AF2361" s="663" t="s">
        <v>4946</v>
      </c>
    </row>
    <row r="2362" spans="1:32" s="608" customFormat="1" x14ac:dyDescent="0.25">
      <c r="A2362" s="624"/>
      <c r="B2362" s="617">
        <v>39113021700</v>
      </c>
      <c r="C2362" s="617" t="s">
        <v>4030</v>
      </c>
      <c r="D2362" s="617" t="s">
        <v>80</v>
      </c>
      <c r="E2362" s="617" t="s">
        <v>4856</v>
      </c>
      <c r="F2362" s="617" t="s">
        <v>26</v>
      </c>
      <c r="G2362" s="624"/>
      <c r="O2362" s="616"/>
      <c r="P2362" s="616"/>
      <c r="Q2362" s="616"/>
      <c r="AA2362" s="624"/>
      <c r="AB2362" s="663">
        <v>39133600500</v>
      </c>
      <c r="AC2362" s="663" t="s">
        <v>7294</v>
      </c>
      <c r="AD2362" s="663" t="s">
        <v>4948</v>
      </c>
      <c r="AE2362" s="663" t="s">
        <v>4931</v>
      </c>
      <c r="AF2362" s="663" t="s">
        <v>4929</v>
      </c>
    </row>
    <row r="2363" spans="1:32" s="608" customFormat="1" x14ac:dyDescent="0.25">
      <c r="A2363" s="624"/>
      <c r="B2363" s="617">
        <v>39113021800</v>
      </c>
      <c r="C2363" s="617" t="s">
        <v>4031</v>
      </c>
      <c r="D2363" s="617" t="s">
        <v>80</v>
      </c>
      <c r="E2363" s="617" t="s">
        <v>4856</v>
      </c>
      <c r="F2363" s="617" t="s">
        <v>24</v>
      </c>
      <c r="G2363" s="624"/>
      <c r="O2363" s="616"/>
      <c r="P2363" s="616"/>
      <c r="Q2363" s="616"/>
      <c r="AA2363" s="624"/>
      <c r="AB2363" s="663">
        <v>39133600602</v>
      </c>
      <c r="AC2363" s="663" t="s">
        <v>7295</v>
      </c>
      <c r="AD2363" s="663" t="s">
        <v>4950</v>
      </c>
      <c r="AE2363" s="663" t="s">
        <v>4928</v>
      </c>
      <c r="AF2363" s="663" t="s">
        <v>4929</v>
      </c>
    </row>
    <row r="2364" spans="1:32" s="608" customFormat="1" x14ac:dyDescent="0.25">
      <c r="A2364" s="624"/>
      <c r="B2364" s="617">
        <v>39113021900</v>
      </c>
      <c r="C2364" s="617" t="s">
        <v>4032</v>
      </c>
      <c r="D2364" s="617" t="s">
        <v>80</v>
      </c>
      <c r="E2364" s="617" t="s">
        <v>4856</v>
      </c>
      <c r="F2364" s="617" t="s">
        <v>26</v>
      </c>
      <c r="G2364" s="624"/>
      <c r="O2364" s="616"/>
      <c r="P2364" s="616"/>
      <c r="Q2364" s="616"/>
      <c r="AA2364" s="624"/>
      <c r="AB2364" s="663">
        <v>39133600603</v>
      </c>
      <c r="AC2364" s="663" t="s">
        <v>7296</v>
      </c>
      <c r="AD2364" s="663" t="s">
        <v>4927</v>
      </c>
      <c r="AE2364" s="663" t="s">
        <v>4939</v>
      </c>
      <c r="AF2364" s="663" t="s">
        <v>4929</v>
      </c>
    </row>
    <row r="2365" spans="1:32" s="608" customFormat="1" x14ac:dyDescent="0.25">
      <c r="A2365" s="624"/>
      <c r="B2365" s="617">
        <v>39113030100</v>
      </c>
      <c r="C2365" s="617" t="s">
        <v>4033</v>
      </c>
      <c r="D2365" s="617" t="s">
        <v>80</v>
      </c>
      <c r="E2365" s="617" t="s">
        <v>4856</v>
      </c>
      <c r="F2365" s="617" t="s">
        <v>26</v>
      </c>
      <c r="G2365" s="624"/>
      <c r="O2365" s="616"/>
      <c r="P2365" s="616"/>
      <c r="Q2365" s="616"/>
      <c r="AA2365" s="624"/>
      <c r="AB2365" s="663">
        <v>39133600703</v>
      </c>
      <c r="AC2365" s="663" t="s">
        <v>7297</v>
      </c>
      <c r="AD2365" s="663" t="s">
        <v>4950</v>
      </c>
      <c r="AE2365" s="663" t="s">
        <v>4934</v>
      </c>
      <c r="AF2365" s="663" t="s">
        <v>4929</v>
      </c>
    </row>
    <row r="2366" spans="1:32" s="608" customFormat="1" x14ac:dyDescent="0.25">
      <c r="A2366" s="624"/>
      <c r="B2366" s="617">
        <v>39113030200</v>
      </c>
      <c r="C2366" s="617" t="s">
        <v>4034</v>
      </c>
      <c r="D2366" s="617" t="s">
        <v>80</v>
      </c>
      <c r="E2366" s="617" t="s">
        <v>4856</v>
      </c>
      <c r="F2366" s="617" t="s">
        <v>26</v>
      </c>
      <c r="G2366" s="624"/>
      <c r="O2366" s="616"/>
      <c r="P2366" s="616"/>
      <c r="Q2366" s="616"/>
      <c r="AA2366" s="624"/>
      <c r="AB2366" s="663">
        <v>39133600704</v>
      </c>
      <c r="AC2366" s="663" t="s">
        <v>7298</v>
      </c>
      <c r="AD2366" s="663" t="s">
        <v>4948</v>
      </c>
      <c r="AE2366" s="663" t="s">
        <v>4931</v>
      </c>
      <c r="AF2366" s="663" t="s">
        <v>4929</v>
      </c>
    </row>
    <row r="2367" spans="1:32" s="608" customFormat="1" x14ac:dyDescent="0.25">
      <c r="A2367" s="624"/>
      <c r="B2367" s="617">
        <v>39113040101</v>
      </c>
      <c r="C2367" s="617" t="s">
        <v>4035</v>
      </c>
      <c r="D2367" s="617" t="s">
        <v>80</v>
      </c>
      <c r="E2367" s="617" t="s">
        <v>4856</v>
      </c>
      <c r="F2367" s="617" t="s">
        <v>26</v>
      </c>
      <c r="G2367" s="624"/>
      <c r="O2367" s="616"/>
      <c r="P2367" s="616"/>
      <c r="Q2367" s="616"/>
      <c r="AA2367" s="624"/>
      <c r="AB2367" s="663">
        <v>39133600705</v>
      </c>
      <c r="AC2367" s="663" t="s">
        <v>7299</v>
      </c>
      <c r="AD2367" s="663" t="s">
        <v>4941</v>
      </c>
      <c r="AE2367" s="663" t="s">
        <v>4931</v>
      </c>
      <c r="AF2367" s="663" t="s">
        <v>4929</v>
      </c>
    </row>
    <row r="2368" spans="1:32" s="608" customFormat="1" x14ac:dyDescent="0.25">
      <c r="A2368" s="624"/>
      <c r="B2368" s="617">
        <v>39113040102</v>
      </c>
      <c r="C2368" s="617" t="s">
        <v>4036</v>
      </c>
      <c r="D2368" s="617" t="s">
        <v>80</v>
      </c>
      <c r="E2368" s="617" t="s">
        <v>4856</v>
      </c>
      <c r="F2368" s="617" t="s">
        <v>26</v>
      </c>
      <c r="G2368" s="624"/>
      <c r="O2368" s="616"/>
      <c r="P2368" s="616"/>
      <c r="Q2368" s="616"/>
      <c r="AA2368" s="624"/>
      <c r="AB2368" s="663">
        <v>39133600706</v>
      </c>
      <c r="AC2368" s="663" t="s">
        <v>7300</v>
      </c>
      <c r="AD2368" s="663" t="s">
        <v>4948</v>
      </c>
      <c r="AE2368" s="663" t="s">
        <v>4942</v>
      </c>
      <c r="AF2368" s="663" t="s">
        <v>4929</v>
      </c>
    </row>
    <row r="2369" spans="1:32" s="608" customFormat="1" x14ac:dyDescent="0.25">
      <c r="A2369" s="624"/>
      <c r="B2369" s="617">
        <v>39113040103</v>
      </c>
      <c r="C2369" s="617" t="s">
        <v>4037</v>
      </c>
      <c r="D2369" s="617" t="s">
        <v>80</v>
      </c>
      <c r="E2369" s="617" t="s">
        <v>4856</v>
      </c>
      <c r="F2369" s="617" t="s">
        <v>26</v>
      </c>
      <c r="G2369" s="624"/>
      <c r="O2369" s="616"/>
      <c r="P2369" s="616"/>
      <c r="Q2369" s="616"/>
      <c r="AA2369" s="624"/>
      <c r="AB2369" s="663">
        <v>39133600800</v>
      </c>
      <c r="AC2369" s="663" t="s">
        <v>7301</v>
      </c>
      <c r="AD2369" s="663" t="s">
        <v>4927</v>
      </c>
      <c r="AE2369" s="663" t="s">
        <v>4931</v>
      </c>
      <c r="AF2369" s="663" t="s">
        <v>4946</v>
      </c>
    </row>
    <row r="2370" spans="1:32" s="608" customFormat="1" x14ac:dyDescent="0.25">
      <c r="A2370" s="624"/>
      <c r="B2370" s="617">
        <v>39113040201</v>
      </c>
      <c r="C2370" s="617" t="s">
        <v>4038</v>
      </c>
      <c r="D2370" s="617" t="s">
        <v>80</v>
      </c>
      <c r="E2370" s="617" t="s">
        <v>4856</v>
      </c>
      <c r="F2370" s="617" t="s">
        <v>26</v>
      </c>
      <c r="G2370" s="624"/>
      <c r="O2370" s="616"/>
      <c r="P2370" s="616"/>
      <c r="Q2370" s="616"/>
      <c r="AA2370" s="624"/>
      <c r="AB2370" s="663">
        <v>39133600901</v>
      </c>
      <c r="AC2370" s="663" t="s">
        <v>7302</v>
      </c>
      <c r="AD2370" s="663" t="s">
        <v>4927</v>
      </c>
      <c r="AE2370" s="663" t="s">
        <v>4931</v>
      </c>
      <c r="AF2370" s="663" t="s">
        <v>4946</v>
      </c>
    </row>
    <row r="2371" spans="1:32" s="608" customFormat="1" x14ac:dyDescent="0.25">
      <c r="A2371" s="624"/>
      <c r="B2371" s="617">
        <v>39113040203</v>
      </c>
      <c r="C2371" s="617" t="s">
        <v>4039</v>
      </c>
      <c r="D2371" s="617" t="s">
        <v>80</v>
      </c>
      <c r="E2371" s="617" t="s">
        <v>4856</v>
      </c>
      <c r="F2371" s="617" t="s">
        <v>26</v>
      </c>
      <c r="G2371" s="624"/>
      <c r="O2371" s="616"/>
      <c r="P2371" s="616"/>
      <c r="Q2371" s="616"/>
      <c r="AA2371" s="624"/>
      <c r="AB2371" s="663">
        <v>39133600902</v>
      </c>
      <c r="AC2371" s="663" t="s">
        <v>7303</v>
      </c>
      <c r="AD2371" s="663" t="s">
        <v>4927</v>
      </c>
      <c r="AE2371" s="663" t="s">
        <v>4934</v>
      </c>
      <c r="AF2371" s="663" t="s">
        <v>4946</v>
      </c>
    </row>
    <row r="2372" spans="1:32" s="608" customFormat="1" x14ac:dyDescent="0.25">
      <c r="A2372" s="624"/>
      <c r="B2372" s="617">
        <v>39113040204</v>
      </c>
      <c r="C2372" s="617" t="s">
        <v>4040</v>
      </c>
      <c r="D2372" s="617" t="s">
        <v>80</v>
      </c>
      <c r="E2372" s="617" t="s">
        <v>4856</v>
      </c>
      <c r="F2372" s="617" t="s">
        <v>26</v>
      </c>
      <c r="G2372" s="624"/>
      <c r="O2372" s="616"/>
      <c r="P2372" s="616"/>
      <c r="Q2372" s="616"/>
      <c r="AA2372" s="624"/>
      <c r="AB2372" s="663">
        <v>39133601000</v>
      </c>
      <c r="AC2372" s="663" t="s">
        <v>7304</v>
      </c>
      <c r="AD2372" s="663" t="s">
        <v>4927</v>
      </c>
      <c r="AE2372" s="663" t="s">
        <v>4931</v>
      </c>
      <c r="AF2372" s="663" t="s">
        <v>4946</v>
      </c>
    </row>
    <row r="2373" spans="1:32" s="608" customFormat="1" x14ac:dyDescent="0.25">
      <c r="A2373" s="624"/>
      <c r="B2373" s="617">
        <v>39113040302</v>
      </c>
      <c r="C2373" s="617" t="s">
        <v>4041</v>
      </c>
      <c r="D2373" s="617" t="s">
        <v>80</v>
      </c>
      <c r="E2373" s="617" t="s">
        <v>4856</v>
      </c>
      <c r="F2373" s="617" t="s">
        <v>26</v>
      </c>
      <c r="G2373" s="624"/>
      <c r="O2373" s="616"/>
      <c r="P2373" s="616"/>
      <c r="Q2373" s="616"/>
      <c r="AA2373" s="624"/>
      <c r="AB2373" s="663">
        <v>39133601100</v>
      </c>
      <c r="AC2373" s="663" t="s">
        <v>7305</v>
      </c>
      <c r="AD2373" s="663" t="s">
        <v>4950</v>
      </c>
      <c r="AE2373" s="663" t="s">
        <v>4931</v>
      </c>
      <c r="AF2373" s="663" t="s">
        <v>4946</v>
      </c>
    </row>
    <row r="2374" spans="1:32" s="608" customFormat="1" x14ac:dyDescent="0.25">
      <c r="A2374" s="624"/>
      <c r="B2374" s="617">
        <v>39113040303</v>
      </c>
      <c r="C2374" s="617" t="s">
        <v>4042</v>
      </c>
      <c r="D2374" s="617" t="s">
        <v>80</v>
      </c>
      <c r="E2374" s="617" t="s">
        <v>4856</v>
      </c>
      <c r="F2374" s="617" t="s">
        <v>26</v>
      </c>
      <c r="G2374" s="624"/>
      <c r="O2374" s="616"/>
      <c r="P2374" s="616"/>
      <c r="Q2374" s="616"/>
      <c r="AA2374" s="624"/>
      <c r="AB2374" s="663">
        <v>39133601200</v>
      </c>
      <c r="AC2374" s="663" t="s">
        <v>7306</v>
      </c>
      <c r="AD2374" s="663" t="s">
        <v>4950</v>
      </c>
      <c r="AE2374" s="663" t="s">
        <v>4928</v>
      </c>
      <c r="AF2374" s="663" t="s">
        <v>4946</v>
      </c>
    </row>
    <row r="2375" spans="1:32" s="608" customFormat="1" x14ac:dyDescent="0.25">
      <c r="A2375" s="624"/>
      <c r="B2375" s="617">
        <v>39113040305</v>
      </c>
      <c r="C2375" s="617" t="s">
        <v>4043</v>
      </c>
      <c r="D2375" s="617" t="s">
        <v>80</v>
      </c>
      <c r="E2375" s="617" t="s">
        <v>4856</v>
      </c>
      <c r="F2375" s="617" t="s">
        <v>26</v>
      </c>
      <c r="G2375" s="624"/>
      <c r="O2375" s="616"/>
      <c r="P2375" s="616"/>
      <c r="Q2375" s="616"/>
      <c r="AA2375" s="624"/>
      <c r="AB2375" s="663">
        <v>39133601300</v>
      </c>
      <c r="AC2375" s="663" t="s">
        <v>7307</v>
      </c>
      <c r="AD2375" s="663" t="s">
        <v>4948</v>
      </c>
      <c r="AE2375" s="663" t="s">
        <v>4931</v>
      </c>
      <c r="AF2375" s="663" t="s">
        <v>4946</v>
      </c>
    </row>
    <row r="2376" spans="1:32" s="608" customFormat="1" x14ac:dyDescent="0.25">
      <c r="A2376" s="624"/>
      <c r="B2376" s="617">
        <v>39113040306</v>
      </c>
      <c r="C2376" s="617" t="s">
        <v>4044</v>
      </c>
      <c r="D2376" s="617" t="s">
        <v>80</v>
      </c>
      <c r="E2376" s="617" t="s">
        <v>4856</v>
      </c>
      <c r="F2376" s="617" t="s">
        <v>26</v>
      </c>
      <c r="G2376" s="624"/>
      <c r="O2376" s="616"/>
      <c r="P2376" s="616"/>
      <c r="Q2376" s="616"/>
      <c r="AA2376" s="624"/>
      <c r="AB2376" s="663">
        <v>39133601400</v>
      </c>
      <c r="AC2376" s="663" t="s">
        <v>7308</v>
      </c>
      <c r="AD2376" s="663" t="s">
        <v>4948</v>
      </c>
      <c r="AE2376" s="663" t="s">
        <v>4934</v>
      </c>
      <c r="AF2376" s="663" t="s">
        <v>4946</v>
      </c>
    </row>
    <row r="2377" spans="1:32" s="608" customFormat="1" x14ac:dyDescent="0.25">
      <c r="A2377" s="624"/>
      <c r="B2377" s="617">
        <v>39113040401</v>
      </c>
      <c r="C2377" s="617" t="s">
        <v>4045</v>
      </c>
      <c r="D2377" s="617" t="s">
        <v>80</v>
      </c>
      <c r="E2377" s="617" t="s">
        <v>4856</v>
      </c>
      <c r="F2377" s="617" t="s">
        <v>26</v>
      </c>
      <c r="G2377" s="624"/>
      <c r="O2377" s="616"/>
      <c r="P2377" s="616"/>
      <c r="Q2377" s="616"/>
      <c r="AA2377" s="624"/>
      <c r="AB2377" s="663">
        <v>39133601501</v>
      </c>
      <c r="AC2377" s="663" t="s">
        <v>7309</v>
      </c>
      <c r="AD2377" s="663" t="s">
        <v>4948</v>
      </c>
      <c r="AE2377" s="663" t="s">
        <v>4928</v>
      </c>
      <c r="AF2377" s="663" t="s">
        <v>4946</v>
      </c>
    </row>
    <row r="2378" spans="1:32" s="608" customFormat="1" x14ac:dyDescent="0.25">
      <c r="A2378" s="624"/>
      <c r="B2378" s="617">
        <v>39113040403</v>
      </c>
      <c r="C2378" s="617" t="s">
        <v>4046</v>
      </c>
      <c r="D2378" s="617" t="s">
        <v>80</v>
      </c>
      <c r="E2378" s="617" t="s">
        <v>4856</v>
      </c>
      <c r="F2378" s="617" t="s">
        <v>26</v>
      </c>
      <c r="G2378" s="624"/>
      <c r="O2378" s="616"/>
      <c r="P2378" s="616"/>
      <c r="Q2378" s="616"/>
      <c r="AA2378" s="624"/>
      <c r="AB2378" s="663">
        <v>39133601502</v>
      </c>
      <c r="AC2378" s="663" t="s">
        <v>7310</v>
      </c>
      <c r="AD2378" s="663" t="s">
        <v>4950</v>
      </c>
      <c r="AE2378" s="663" t="s">
        <v>5006</v>
      </c>
      <c r="AF2378" s="663" t="s">
        <v>4946</v>
      </c>
    </row>
    <row r="2379" spans="1:32" s="608" customFormat="1" x14ac:dyDescent="0.25">
      <c r="A2379" s="624"/>
      <c r="B2379" s="617">
        <v>39113040405</v>
      </c>
      <c r="C2379" s="617" t="s">
        <v>4047</v>
      </c>
      <c r="D2379" s="617" t="s">
        <v>80</v>
      </c>
      <c r="E2379" s="617" t="s">
        <v>4856</v>
      </c>
      <c r="F2379" s="617" t="s">
        <v>26</v>
      </c>
      <c r="G2379" s="624"/>
      <c r="O2379" s="616"/>
      <c r="P2379" s="616"/>
      <c r="Q2379" s="616"/>
      <c r="AA2379" s="624"/>
      <c r="AB2379" s="663">
        <v>39133601503</v>
      </c>
      <c r="AC2379" s="663" t="s">
        <v>7311</v>
      </c>
      <c r="AD2379" s="663" t="s">
        <v>4948</v>
      </c>
      <c r="AE2379" s="663" t="s">
        <v>4928</v>
      </c>
      <c r="AF2379" s="663" t="s">
        <v>4946</v>
      </c>
    </row>
    <row r="2380" spans="1:32" s="608" customFormat="1" x14ac:dyDescent="0.25">
      <c r="A2380" s="624"/>
      <c r="B2380" s="617">
        <v>39113040406</v>
      </c>
      <c r="C2380" s="617" t="s">
        <v>4048</v>
      </c>
      <c r="D2380" s="617" t="s">
        <v>80</v>
      </c>
      <c r="E2380" s="617" t="s">
        <v>4856</v>
      </c>
      <c r="F2380" s="617" t="s">
        <v>26</v>
      </c>
      <c r="G2380" s="624"/>
      <c r="O2380" s="616"/>
      <c r="P2380" s="616"/>
      <c r="Q2380" s="616"/>
      <c r="AA2380" s="624"/>
      <c r="AB2380" s="663">
        <v>39133601600</v>
      </c>
      <c r="AC2380" s="663" t="s">
        <v>7312</v>
      </c>
      <c r="AD2380" s="663" t="s">
        <v>4948</v>
      </c>
      <c r="AE2380" s="663" t="s">
        <v>4939</v>
      </c>
      <c r="AF2380" s="663" t="s">
        <v>4946</v>
      </c>
    </row>
    <row r="2381" spans="1:32" s="608" customFormat="1" x14ac:dyDescent="0.25">
      <c r="A2381" s="624"/>
      <c r="B2381" s="617">
        <v>39113050101</v>
      </c>
      <c r="C2381" s="617" t="s">
        <v>4049</v>
      </c>
      <c r="D2381" s="617" t="s">
        <v>80</v>
      </c>
      <c r="E2381" s="617" t="s">
        <v>4856</v>
      </c>
      <c r="F2381" s="617" t="s">
        <v>26</v>
      </c>
      <c r="G2381" s="624"/>
      <c r="O2381" s="616"/>
      <c r="P2381" s="616"/>
      <c r="Q2381" s="616"/>
      <c r="AA2381" s="624"/>
      <c r="AB2381" s="663">
        <v>39133601701</v>
      </c>
      <c r="AC2381" s="663" t="s">
        <v>7313</v>
      </c>
      <c r="AD2381" s="663" t="s">
        <v>4948</v>
      </c>
      <c r="AE2381" s="663" t="s">
        <v>4931</v>
      </c>
      <c r="AF2381" s="663" t="s">
        <v>4946</v>
      </c>
    </row>
    <row r="2382" spans="1:32" s="608" customFormat="1" x14ac:dyDescent="0.25">
      <c r="A2382" s="624"/>
      <c r="B2382" s="617">
        <v>39113050104</v>
      </c>
      <c r="C2382" s="617" t="s">
        <v>4050</v>
      </c>
      <c r="D2382" s="617" t="s">
        <v>80</v>
      </c>
      <c r="E2382" s="617" t="s">
        <v>4856</v>
      </c>
      <c r="F2382" s="617" t="s">
        <v>26</v>
      </c>
      <c r="G2382" s="624"/>
      <c r="O2382" s="616"/>
      <c r="P2382" s="616"/>
      <c r="Q2382" s="616"/>
      <c r="AA2382" s="624"/>
      <c r="AB2382" s="663">
        <v>39133601702</v>
      </c>
      <c r="AC2382" s="663" t="s">
        <v>7314</v>
      </c>
      <c r="AD2382" s="663" t="s">
        <v>4948</v>
      </c>
      <c r="AE2382" s="663" t="s">
        <v>4934</v>
      </c>
      <c r="AF2382" s="663" t="s">
        <v>4946</v>
      </c>
    </row>
    <row r="2383" spans="1:32" s="608" customFormat="1" x14ac:dyDescent="0.25">
      <c r="A2383" s="624"/>
      <c r="B2383" s="617">
        <v>39113050105</v>
      </c>
      <c r="C2383" s="617" t="s">
        <v>4051</v>
      </c>
      <c r="D2383" s="617" t="s">
        <v>80</v>
      </c>
      <c r="E2383" s="617" t="s">
        <v>4856</v>
      </c>
      <c r="F2383" s="617" t="s">
        <v>26</v>
      </c>
      <c r="G2383" s="624"/>
      <c r="O2383" s="616"/>
      <c r="P2383" s="616"/>
      <c r="Q2383" s="616"/>
      <c r="AA2383" s="624"/>
      <c r="AB2383" s="663">
        <v>39133601801</v>
      </c>
      <c r="AC2383" s="663" t="s">
        <v>7315</v>
      </c>
      <c r="AD2383" s="663" t="s">
        <v>4941</v>
      </c>
      <c r="AE2383" s="663" t="s">
        <v>4931</v>
      </c>
      <c r="AF2383" s="663" t="s">
        <v>4929</v>
      </c>
    </row>
    <row r="2384" spans="1:32" s="608" customFormat="1" x14ac:dyDescent="0.25">
      <c r="A2384" s="624"/>
      <c r="B2384" s="617">
        <v>39113050106</v>
      </c>
      <c r="C2384" s="617" t="s">
        <v>4052</v>
      </c>
      <c r="D2384" s="617" t="s">
        <v>80</v>
      </c>
      <c r="E2384" s="617" t="s">
        <v>4856</v>
      </c>
      <c r="F2384" s="617" t="s">
        <v>26</v>
      </c>
      <c r="G2384" s="624"/>
      <c r="O2384" s="616"/>
      <c r="P2384" s="616"/>
      <c r="Q2384" s="616"/>
      <c r="AA2384" s="624"/>
      <c r="AB2384" s="663">
        <v>39133601802</v>
      </c>
      <c r="AC2384" s="663" t="s">
        <v>7316</v>
      </c>
      <c r="AD2384" s="663" t="s">
        <v>4941</v>
      </c>
      <c r="AE2384" s="663" t="s">
        <v>4942</v>
      </c>
      <c r="AF2384" s="663" t="s">
        <v>4929</v>
      </c>
    </row>
    <row r="2385" spans="1:32" s="608" customFormat="1" x14ac:dyDescent="0.25">
      <c r="A2385" s="624"/>
      <c r="B2385" s="617">
        <v>39113050107</v>
      </c>
      <c r="C2385" s="617" t="s">
        <v>4053</v>
      </c>
      <c r="D2385" s="617" t="s">
        <v>80</v>
      </c>
      <c r="E2385" s="617" t="s">
        <v>4856</v>
      </c>
      <c r="F2385" s="617" t="s">
        <v>26</v>
      </c>
      <c r="G2385" s="624"/>
      <c r="O2385" s="616"/>
      <c r="P2385" s="616"/>
      <c r="Q2385" s="616"/>
      <c r="AA2385" s="624"/>
      <c r="AB2385" s="663">
        <v>39133601901</v>
      </c>
      <c r="AC2385" s="663" t="s">
        <v>7317</v>
      </c>
      <c r="AD2385" s="663" t="s">
        <v>4950</v>
      </c>
      <c r="AE2385" s="663" t="s">
        <v>5006</v>
      </c>
      <c r="AF2385" s="663" t="s">
        <v>4929</v>
      </c>
    </row>
    <row r="2386" spans="1:32" s="608" customFormat="1" x14ac:dyDescent="0.25">
      <c r="A2386" s="624"/>
      <c r="B2386" s="617">
        <v>39113050301</v>
      </c>
      <c r="C2386" s="617" t="s">
        <v>4054</v>
      </c>
      <c r="D2386" s="617" t="s">
        <v>80</v>
      </c>
      <c r="E2386" s="617" t="s">
        <v>4856</v>
      </c>
      <c r="F2386" s="617" t="s">
        <v>26</v>
      </c>
      <c r="G2386" s="624"/>
      <c r="O2386" s="616"/>
      <c r="P2386" s="616"/>
      <c r="Q2386" s="616"/>
      <c r="AA2386" s="624"/>
      <c r="AB2386" s="663">
        <v>39133601902</v>
      </c>
      <c r="AC2386" s="663" t="s">
        <v>7318</v>
      </c>
      <c r="AD2386" s="663" t="s">
        <v>4948</v>
      </c>
      <c r="AE2386" s="663" t="s">
        <v>4942</v>
      </c>
      <c r="AF2386" s="663" t="s">
        <v>4929</v>
      </c>
    </row>
    <row r="2387" spans="1:32" s="608" customFormat="1" x14ac:dyDescent="0.25">
      <c r="A2387" s="624"/>
      <c r="B2387" s="617">
        <v>39113050302</v>
      </c>
      <c r="C2387" s="617" t="s">
        <v>4055</v>
      </c>
      <c r="D2387" s="617" t="s">
        <v>80</v>
      </c>
      <c r="E2387" s="617" t="s">
        <v>4856</v>
      </c>
      <c r="F2387" s="617" t="s">
        <v>26</v>
      </c>
      <c r="G2387" s="624"/>
      <c r="O2387" s="616"/>
      <c r="P2387" s="616"/>
      <c r="Q2387" s="616"/>
      <c r="AA2387" s="624"/>
      <c r="AB2387" s="663">
        <v>39133602000</v>
      </c>
      <c r="AC2387" s="663" t="s">
        <v>7319</v>
      </c>
      <c r="AD2387" s="663" t="s">
        <v>4941</v>
      </c>
      <c r="AE2387" s="663" t="s">
        <v>4942</v>
      </c>
      <c r="AF2387" s="663" t="s">
        <v>4929</v>
      </c>
    </row>
    <row r="2388" spans="1:32" s="608" customFormat="1" x14ac:dyDescent="0.25">
      <c r="A2388" s="624"/>
      <c r="B2388" s="617">
        <v>39113050303</v>
      </c>
      <c r="C2388" s="617" t="s">
        <v>4056</v>
      </c>
      <c r="D2388" s="617" t="s">
        <v>80</v>
      </c>
      <c r="E2388" s="617" t="s">
        <v>4856</v>
      </c>
      <c r="F2388" s="617" t="s">
        <v>26</v>
      </c>
      <c r="G2388" s="624"/>
      <c r="O2388" s="616"/>
      <c r="P2388" s="616"/>
      <c r="Q2388" s="616"/>
      <c r="AA2388" s="624"/>
      <c r="AB2388" s="663">
        <v>39133602100</v>
      </c>
      <c r="AC2388" s="663" t="s">
        <v>7320</v>
      </c>
      <c r="AD2388" s="663" t="s">
        <v>4941</v>
      </c>
      <c r="AE2388" s="663" t="s">
        <v>4928</v>
      </c>
      <c r="AF2388" s="663" t="s">
        <v>4929</v>
      </c>
    </row>
    <row r="2389" spans="1:32" s="608" customFormat="1" x14ac:dyDescent="0.25">
      <c r="A2389" s="624"/>
      <c r="B2389" s="617">
        <v>39113050401</v>
      </c>
      <c r="C2389" s="617" t="s">
        <v>4057</v>
      </c>
      <c r="D2389" s="617" t="s">
        <v>80</v>
      </c>
      <c r="E2389" s="617" t="s">
        <v>4856</v>
      </c>
      <c r="F2389" s="617" t="s">
        <v>26</v>
      </c>
      <c r="G2389" s="624"/>
      <c r="O2389" s="616"/>
      <c r="P2389" s="616"/>
      <c r="Q2389" s="616"/>
      <c r="AA2389" s="624"/>
      <c r="AB2389" s="663">
        <v>39135400100</v>
      </c>
      <c r="AC2389" s="663" t="s">
        <v>7321</v>
      </c>
      <c r="AD2389" s="663" t="s">
        <v>4950</v>
      </c>
      <c r="AE2389" s="663" t="s">
        <v>4939</v>
      </c>
      <c r="AF2389" s="663" t="s">
        <v>4929</v>
      </c>
    </row>
    <row r="2390" spans="1:32" s="608" customFormat="1" x14ac:dyDescent="0.25">
      <c r="A2390" s="624"/>
      <c r="B2390" s="617">
        <v>39113050402</v>
      </c>
      <c r="C2390" s="617" t="s">
        <v>4058</v>
      </c>
      <c r="D2390" s="617" t="s">
        <v>80</v>
      </c>
      <c r="E2390" s="617" t="s">
        <v>4856</v>
      </c>
      <c r="F2390" s="617" t="s">
        <v>26</v>
      </c>
      <c r="G2390" s="624"/>
      <c r="O2390" s="616"/>
      <c r="P2390" s="616"/>
      <c r="Q2390" s="616"/>
      <c r="AA2390" s="624"/>
      <c r="AB2390" s="663">
        <v>39135410100</v>
      </c>
      <c r="AC2390" s="663" t="s">
        <v>7322</v>
      </c>
      <c r="AD2390" s="663" t="s">
        <v>4950</v>
      </c>
      <c r="AE2390" s="663" t="s">
        <v>4931</v>
      </c>
      <c r="AF2390" s="663" t="s">
        <v>4929</v>
      </c>
    </row>
    <row r="2391" spans="1:32" s="608" customFormat="1" x14ac:dyDescent="0.25">
      <c r="A2391" s="624"/>
      <c r="B2391" s="617">
        <v>39113050502</v>
      </c>
      <c r="C2391" s="617" t="s">
        <v>4059</v>
      </c>
      <c r="D2391" s="617" t="s">
        <v>80</v>
      </c>
      <c r="E2391" s="617" t="s">
        <v>4856</v>
      </c>
      <c r="F2391" s="617" t="s">
        <v>26</v>
      </c>
      <c r="G2391" s="624"/>
      <c r="O2391" s="616"/>
      <c r="P2391" s="616"/>
      <c r="Q2391" s="616"/>
      <c r="AA2391" s="624"/>
      <c r="AB2391" s="663">
        <v>39135420100</v>
      </c>
      <c r="AC2391" s="663" t="s">
        <v>7323</v>
      </c>
      <c r="AD2391" s="663" t="s">
        <v>4948</v>
      </c>
      <c r="AE2391" s="663" t="s">
        <v>4931</v>
      </c>
      <c r="AF2391" s="663" t="s">
        <v>4929</v>
      </c>
    </row>
    <row r="2392" spans="1:32" s="608" customFormat="1" x14ac:dyDescent="0.25">
      <c r="A2392" s="624"/>
      <c r="B2392" s="617">
        <v>39113050503</v>
      </c>
      <c r="C2392" s="617" t="s">
        <v>4060</v>
      </c>
      <c r="D2392" s="617" t="s">
        <v>80</v>
      </c>
      <c r="E2392" s="617" t="s">
        <v>4856</v>
      </c>
      <c r="F2392" s="617" t="s">
        <v>26</v>
      </c>
      <c r="G2392" s="624"/>
      <c r="O2392" s="616"/>
      <c r="P2392" s="616"/>
      <c r="Q2392" s="616"/>
      <c r="AA2392" s="624"/>
      <c r="AB2392" s="663">
        <v>39135430100</v>
      </c>
      <c r="AC2392" s="663" t="s">
        <v>7324</v>
      </c>
      <c r="AD2392" s="663" t="s">
        <v>4950</v>
      </c>
      <c r="AE2392" s="663" t="s">
        <v>4939</v>
      </c>
      <c r="AF2392" s="663" t="s">
        <v>4929</v>
      </c>
    </row>
    <row r="2393" spans="1:32" s="608" customFormat="1" x14ac:dyDescent="0.25">
      <c r="A2393" s="624"/>
      <c r="B2393" s="617">
        <v>39113050504</v>
      </c>
      <c r="C2393" s="617" t="s">
        <v>4061</v>
      </c>
      <c r="D2393" s="617" t="s">
        <v>80</v>
      </c>
      <c r="E2393" s="617" t="s">
        <v>4856</v>
      </c>
      <c r="F2393" s="617" t="s">
        <v>26</v>
      </c>
      <c r="G2393" s="624"/>
      <c r="O2393" s="616"/>
      <c r="P2393" s="616"/>
      <c r="Q2393" s="616"/>
      <c r="AA2393" s="624"/>
      <c r="AB2393" s="663">
        <v>39135440100</v>
      </c>
      <c r="AC2393" s="663" t="s">
        <v>7325</v>
      </c>
      <c r="AD2393" s="663" t="s">
        <v>4950</v>
      </c>
      <c r="AE2393" s="663" t="s">
        <v>4939</v>
      </c>
      <c r="AF2393" s="663" t="s">
        <v>4929</v>
      </c>
    </row>
    <row r="2394" spans="1:32" s="608" customFormat="1" x14ac:dyDescent="0.25">
      <c r="A2394" s="624"/>
      <c r="B2394" s="617">
        <v>39113050600</v>
      </c>
      <c r="C2394" s="617" t="s">
        <v>4062</v>
      </c>
      <c r="D2394" s="617" t="s">
        <v>80</v>
      </c>
      <c r="E2394" s="617" t="s">
        <v>4856</v>
      </c>
      <c r="F2394" s="617" t="s">
        <v>26</v>
      </c>
      <c r="G2394" s="624"/>
      <c r="O2394" s="616"/>
      <c r="P2394" s="616"/>
      <c r="Q2394" s="616"/>
      <c r="AA2394" s="624"/>
      <c r="AB2394" s="663">
        <v>39135450100</v>
      </c>
      <c r="AC2394" s="663" t="s">
        <v>7326</v>
      </c>
      <c r="AD2394" s="663" t="s">
        <v>4938</v>
      </c>
      <c r="AE2394" s="663" t="s">
        <v>4934</v>
      </c>
      <c r="AF2394" s="663" t="s">
        <v>4929</v>
      </c>
    </row>
    <row r="2395" spans="1:32" s="608" customFormat="1" x14ac:dyDescent="0.25">
      <c r="A2395" s="624"/>
      <c r="B2395" s="617">
        <v>39113060100</v>
      </c>
      <c r="C2395" s="617" t="s">
        <v>4063</v>
      </c>
      <c r="D2395" s="617" t="s">
        <v>80</v>
      </c>
      <c r="E2395" s="617" t="s">
        <v>4856</v>
      </c>
      <c r="F2395" s="617" t="s">
        <v>26</v>
      </c>
      <c r="G2395" s="624"/>
      <c r="O2395" s="616"/>
      <c r="P2395" s="616"/>
      <c r="Q2395" s="616"/>
      <c r="AA2395" s="624"/>
      <c r="AB2395" s="663">
        <v>39135455001</v>
      </c>
      <c r="AC2395" s="663" t="s">
        <v>7327</v>
      </c>
      <c r="AD2395" s="663" t="s">
        <v>4941</v>
      </c>
      <c r="AE2395" s="663" t="s">
        <v>4939</v>
      </c>
      <c r="AF2395" s="663" t="s">
        <v>4929</v>
      </c>
    </row>
    <row r="2396" spans="1:32" s="608" customFormat="1" x14ac:dyDescent="0.25">
      <c r="A2396" s="624"/>
      <c r="B2396" s="617">
        <v>39113060200</v>
      </c>
      <c r="C2396" s="617" t="s">
        <v>4064</v>
      </c>
      <c r="D2396" s="617" t="s">
        <v>80</v>
      </c>
      <c r="E2396" s="617" t="s">
        <v>4856</v>
      </c>
      <c r="F2396" s="617" t="s">
        <v>24</v>
      </c>
      <c r="G2396" s="624"/>
      <c r="O2396" s="616"/>
      <c r="P2396" s="616"/>
      <c r="Q2396" s="616"/>
      <c r="AA2396" s="624"/>
      <c r="AB2396" s="663">
        <v>39135455002</v>
      </c>
      <c r="AC2396" s="663" t="s">
        <v>7328</v>
      </c>
      <c r="AD2396" s="663" t="s">
        <v>4938</v>
      </c>
      <c r="AE2396" s="663" t="s">
        <v>4939</v>
      </c>
      <c r="AF2396" s="663" t="s">
        <v>4929</v>
      </c>
    </row>
    <row r="2397" spans="1:32" s="608" customFormat="1" x14ac:dyDescent="0.25">
      <c r="A2397" s="624"/>
      <c r="B2397" s="617">
        <v>39113060300</v>
      </c>
      <c r="C2397" s="617" t="s">
        <v>4065</v>
      </c>
      <c r="D2397" s="617" t="s">
        <v>80</v>
      </c>
      <c r="E2397" s="617" t="s">
        <v>4856</v>
      </c>
      <c r="F2397" s="617" t="s">
        <v>24</v>
      </c>
      <c r="G2397" s="624"/>
      <c r="O2397" s="616"/>
      <c r="P2397" s="616"/>
      <c r="Q2397" s="616"/>
      <c r="AA2397" s="624"/>
      <c r="AB2397" s="663">
        <v>39135460100</v>
      </c>
      <c r="AC2397" s="663" t="s">
        <v>7329</v>
      </c>
      <c r="AD2397" s="663" t="s">
        <v>4941</v>
      </c>
      <c r="AE2397" s="663" t="s">
        <v>4934</v>
      </c>
      <c r="AF2397" s="663" t="s">
        <v>4929</v>
      </c>
    </row>
    <row r="2398" spans="1:32" s="608" customFormat="1" x14ac:dyDescent="0.25">
      <c r="A2398" s="624"/>
      <c r="B2398" s="617">
        <v>39113070101</v>
      </c>
      <c r="C2398" s="617" t="s">
        <v>4066</v>
      </c>
      <c r="D2398" s="617" t="s">
        <v>80</v>
      </c>
      <c r="E2398" s="617" t="s">
        <v>4856</v>
      </c>
      <c r="F2398" s="617" t="s">
        <v>24</v>
      </c>
      <c r="G2398" s="624"/>
      <c r="O2398" s="616"/>
      <c r="P2398" s="616"/>
      <c r="Q2398" s="616"/>
      <c r="AA2398" s="624"/>
      <c r="AB2398" s="663">
        <v>39135470101</v>
      </c>
      <c r="AC2398" s="663" t="s">
        <v>7330</v>
      </c>
      <c r="AD2398" s="663" t="s">
        <v>4941</v>
      </c>
      <c r="AE2398" s="663" t="s">
        <v>4939</v>
      </c>
      <c r="AF2398" s="663" t="s">
        <v>4929</v>
      </c>
    </row>
    <row r="2399" spans="1:32" s="608" customFormat="1" x14ac:dyDescent="0.25">
      <c r="A2399" s="624"/>
      <c r="B2399" s="617">
        <v>39113070102</v>
      </c>
      <c r="C2399" s="617" t="s">
        <v>4067</v>
      </c>
      <c r="D2399" s="617" t="s">
        <v>80</v>
      </c>
      <c r="E2399" s="617" t="s">
        <v>4856</v>
      </c>
      <c r="F2399" s="617" t="s">
        <v>24</v>
      </c>
      <c r="G2399" s="624"/>
      <c r="O2399" s="616"/>
      <c r="P2399" s="616"/>
      <c r="Q2399" s="616"/>
      <c r="AA2399" s="624"/>
      <c r="AB2399" s="663">
        <v>39135470102</v>
      </c>
      <c r="AC2399" s="663" t="s">
        <v>7331</v>
      </c>
      <c r="AD2399" s="663" t="s">
        <v>4950</v>
      </c>
      <c r="AE2399" s="663" t="s">
        <v>4934</v>
      </c>
      <c r="AF2399" s="663" t="s">
        <v>4929</v>
      </c>
    </row>
    <row r="2400" spans="1:32" s="608" customFormat="1" x14ac:dyDescent="0.25">
      <c r="A2400" s="624"/>
      <c r="B2400" s="617">
        <v>39113070201</v>
      </c>
      <c r="C2400" s="617" t="s">
        <v>4068</v>
      </c>
      <c r="D2400" s="617" t="s">
        <v>80</v>
      </c>
      <c r="E2400" s="617" t="s">
        <v>4856</v>
      </c>
      <c r="F2400" s="617" t="s">
        <v>24</v>
      </c>
      <c r="G2400" s="624"/>
      <c r="O2400" s="616"/>
      <c r="P2400" s="616"/>
      <c r="Q2400" s="616"/>
      <c r="AA2400" s="624"/>
      <c r="AB2400" s="663">
        <v>39135480100</v>
      </c>
      <c r="AC2400" s="663" t="s">
        <v>7332</v>
      </c>
      <c r="AD2400" s="663" t="s">
        <v>4950</v>
      </c>
      <c r="AE2400" s="663" t="s">
        <v>4934</v>
      </c>
      <c r="AF2400" s="663" t="s">
        <v>4929</v>
      </c>
    </row>
    <row r="2401" spans="1:32" s="608" customFormat="1" x14ac:dyDescent="0.25">
      <c r="A2401" s="624"/>
      <c r="B2401" s="617">
        <v>39113070202</v>
      </c>
      <c r="C2401" s="617" t="s">
        <v>4069</v>
      </c>
      <c r="D2401" s="617" t="s">
        <v>80</v>
      </c>
      <c r="E2401" s="617" t="s">
        <v>4856</v>
      </c>
      <c r="F2401" s="617" t="s">
        <v>24</v>
      </c>
      <c r="G2401" s="624"/>
      <c r="O2401" s="616"/>
      <c r="P2401" s="616"/>
      <c r="Q2401" s="616"/>
      <c r="AA2401" s="624"/>
      <c r="AB2401" s="663">
        <v>39137030100</v>
      </c>
      <c r="AC2401" s="663" t="s">
        <v>7333</v>
      </c>
      <c r="AD2401" s="663" t="s">
        <v>4941</v>
      </c>
      <c r="AE2401" s="663" t="s">
        <v>4934</v>
      </c>
      <c r="AF2401" s="663" t="s">
        <v>4929</v>
      </c>
    </row>
    <row r="2402" spans="1:32" s="608" customFormat="1" x14ac:dyDescent="0.25">
      <c r="A2402" s="624"/>
      <c r="B2402" s="617">
        <v>39113070300</v>
      </c>
      <c r="C2402" s="617" t="s">
        <v>4070</v>
      </c>
      <c r="D2402" s="617" t="s">
        <v>80</v>
      </c>
      <c r="E2402" s="617" t="s">
        <v>4856</v>
      </c>
      <c r="F2402" s="617" t="s">
        <v>24</v>
      </c>
      <c r="G2402" s="624"/>
      <c r="O2402" s="616"/>
      <c r="P2402" s="616"/>
      <c r="Q2402" s="616"/>
      <c r="AA2402" s="624"/>
      <c r="AB2402" s="663">
        <v>39137030200</v>
      </c>
      <c r="AC2402" s="663" t="s">
        <v>7334</v>
      </c>
      <c r="AD2402" s="663" t="s">
        <v>4941</v>
      </c>
      <c r="AE2402" s="663" t="s">
        <v>4934</v>
      </c>
      <c r="AF2402" s="663" t="s">
        <v>4929</v>
      </c>
    </row>
    <row r="2403" spans="1:32" s="608" customFormat="1" x14ac:dyDescent="0.25">
      <c r="A2403" s="624"/>
      <c r="B2403" s="617">
        <v>39113070400</v>
      </c>
      <c r="C2403" s="617" t="s">
        <v>4071</v>
      </c>
      <c r="D2403" s="617" t="s">
        <v>80</v>
      </c>
      <c r="E2403" s="617" t="s">
        <v>4856</v>
      </c>
      <c r="F2403" s="617" t="s">
        <v>24</v>
      </c>
      <c r="G2403" s="624"/>
      <c r="O2403" s="616"/>
      <c r="P2403" s="616"/>
      <c r="Q2403" s="616"/>
      <c r="AA2403" s="624"/>
      <c r="AB2403" s="663">
        <v>39137030300</v>
      </c>
      <c r="AC2403" s="663" t="s">
        <v>7335</v>
      </c>
      <c r="AD2403" s="663" t="s">
        <v>4938</v>
      </c>
      <c r="AE2403" s="663" t="s">
        <v>4934</v>
      </c>
      <c r="AF2403" s="663" t="s">
        <v>4929</v>
      </c>
    </row>
    <row r="2404" spans="1:32" s="608" customFormat="1" x14ac:dyDescent="0.25">
      <c r="A2404" s="624"/>
      <c r="B2404" s="617">
        <v>39113070500</v>
      </c>
      <c r="C2404" s="617" t="s">
        <v>4072</v>
      </c>
      <c r="D2404" s="617" t="s">
        <v>80</v>
      </c>
      <c r="E2404" s="617" t="s">
        <v>4856</v>
      </c>
      <c r="F2404" s="617" t="s">
        <v>26</v>
      </c>
      <c r="G2404" s="624"/>
      <c r="O2404" s="616"/>
      <c r="P2404" s="616"/>
      <c r="Q2404" s="616"/>
      <c r="AA2404" s="624"/>
      <c r="AB2404" s="663">
        <v>39137030400</v>
      </c>
      <c r="AC2404" s="663" t="s">
        <v>7336</v>
      </c>
      <c r="AD2404" s="663" t="s">
        <v>4941</v>
      </c>
      <c r="AE2404" s="663" t="s">
        <v>4934</v>
      </c>
      <c r="AF2404" s="663" t="s">
        <v>4929</v>
      </c>
    </row>
    <row r="2405" spans="1:32" s="608" customFormat="1" x14ac:dyDescent="0.25">
      <c r="A2405" s="624"/>
      <c r="B2405" s="617">
        <v>39113070600</v>
      </c>
      <c r="C2405" s="617" t="s">
        <v>4073</v>
      </c>
      <c r="D2405" s="617" t="s">
        <v>80</v>
      </c>
      <c r="E2405" s="617" t="s">
        <v>4856</v>
      </c>
      <c r="F2405" s="617" t="s">
        <v>26</v>
      </c>
      <c r="G2405" s="624"/>
      <c r="O2405" s="616"/>
      <c r="P2405" s="616"/>
      <c r="Q2405" s="616"/>
      <c r="AA2405" s="624"/>
      <c r="AB2405" s="663">
        <v>39137030500</v>
      </c>
      <c r="AC2405" s="663" t="s">
        <v>7337</v>
      </c>
      <c r="AD2405" s="663" t="s">
        <v>4941</v>
      </c>
      <c r="AE2405" s="663" t="s">
        <v>4931</v>
      </c>
      <c r="AF2405" s="663" t="s">
        <v>4929</v>
      </c>
    </row>
    <row r="2406" spans="1:32" s="608" customFormat="1" x14ac:dyDescent="0.25">
      <c r="A2406" s="624"/>
      <c r="B2406" s="617">
        <v>39113070700</v>
      </c>
      <c r="C2406" s="617" t="s">
        <v>4074</v>
      </c>
      <c r="D2406" s="617" t="s">
        <v>80</v>
      </c>
      <c r="E2406" s="617" t="s">
        <v>4856</v>
      </c>
      <c r="F2406" s="617" t="s">
        <v>26</v>
      </c>
      <c r="G2406" s="624"/>
      <c r="O2406" s="616"/>
      <c r="P2406" s="616"/>
      <c r="Q2406" s="616"/>
      <c r="AA2406" s="624"/>
      <c r="AB2406" s="663">
        <v>39137030600</v>
      </c>
      <c r="AC2406" s="663" t="s">
        <v>7338</v>
      </c>
      <c r="AD2406" s="663" t="s">
        <v>4938</v>
      </c>
      <c r="AE2406" s="663" t="s">
        <v>4928</v>
      </c>
      <c r="AF2406" s="663" t="s">
        <v>4929</v>
      </c>
    </row>
    <row r="2407" spans="1:32" s="608" customFormat="1" x14ac:dyDescent="0.25">
      <c r="A2407" s="624"/>
      <c r="B2407" s="617">
        <v>39113080100</v>
      </c>
      <c r="C2407" s="617" t="s">
        <v>4075</v>
      </c>
      <c r="D2407" s="617" t="s">
        <v>80</v>
      </c>
      <c r="E2407" s="617" t="s">
        <v>4856</v>
      </c>
      <c r="F2407" s="617" t="s">
        <v>26</v>
      </c>
      <c r="G2407" s="624"/>
      <c r="O2407" s="616"/>
      <c r="P2407" s="616"/>
      <c r="Q2407" s="616"/>
      <c r="AA2407" s="624"/>
      <c r="AB2407" s="663">
        <v>39137030700</v>
      </c>
      <c r="AC2407" s="663" t="s">
        <v>7339</v>
      </c>
      <c r="AD2407" s="663" t="s">
        <v>4938</v>
      </c>
      <c r="AE2407" s="663" t="s">
        <v>4942</v>
      </c>
      <c r="AF2407" s="663" t="s">
        <v>4929</v>
      </c>
    </row>
    <row r="2408" spans="1:32" s="608" customFormat="1" x14ac:dyDescent="0.25">
      <c r="A2408" s="624"/>
      <c r="B2408" s="617">
        <v>39113080200</v>
      </c>
      <c r="C2408" s="617" t="s">
        <v>4076</v>
      </c>
      <c r="D2408" s="617" t="s">
        <v>80</v>
      </c>
      <c r="E2408" s="617" t="s">
        <v>4856</v>
      </c>
      <c r="F2408" s="617" t="s">
        <v>26</v>
      </c>
      <c r="G2408" s="624"/>
      <c r="O2408" s="616"/>
      <c r="P2408" s="616"/>
      <c r="Q2408" s="616"/>
      <c r="AA2408" s="624"/>
      <c r="AB2408" s="663">
        <v>39139000400</v>
      </c>
      <c r="AC2408" s="663" t="s">
        <v>7340</v>
      </c>
      <c r="AD2408" s="663" t="s">
        <v>4948</v>
      </c>
      <c r="AE2408" s="663" t="s">
        <v>4934</v>
      </c>
      <c r="AF2408" s="663" t="s">
        <v>4962</v>
      </c>
    </row>
    <row r="2409" spans="1:32" s="608" customFormat="1" x14ac:dyDescent="0.25">
      <c r="A2409" s="624"/>
      <c r="B2409" s="617">
        <v>39113080300</v>
      </c>
      <c r="C2409" s="617" t="s">
        <v>4077</v>
      </c>
      <c r="D2409" s="617" t="s">
        <v>80</v>
      </c>
      <c r="E2409" s="617" t="s">
        <v>4856</v>
      </c>
      <c r="F2409" s="617" t="s">
        <v>26</v>
      </c>
      <c r="G2409" s="624"/>
      <c r="O2409" s="616"/>
      <c r="P2409" s="616"/>
      <c r="Q2409" s="616"/>
      <c r="AA2409" s="624"/>
      <c r="AB2409" s="663">
        <v>39139000500</v>
      </c>
      <c r="AC2409" s="663" t="s">
        <v>7341</v>
      </c>
      <c r="AD2409" s="663" t="s">
        <v>4948</v>
      </c>
      <c r="AE2409" s="663" t="s">
        <v>4928</v>
      </c>
      <c r="AF2409" s="663" t="s">
        <v>4962</v>
      </c>
    </row>
    <row r="2410" spans="1:32" s="608" customFormat="1" x14ac:dyDescent="0.25">
      <c r="A2410" s="624"/>
      <c r="B2410" s="617">
        <v>39113080400</v>
      </c>
      <c r="C2410" s="617" t="s">
        <v>4078</v>
      </c>
      <c r="D2410" s="617" t="s">
        <v>80</v>
      </c>
      <c r="E2410" s="617" t="s">
        <v>4856</v>
      </c>
      <c r="F2410" s="617" t="s">
        <v>24</v>
      </c>
      <c r="G2410" s="624"/>
      <c r="O2410" s="616"/>
      <c r="P2410" s="616"/>
      <c r="Q2410" s="616"/>
      <c r="AA2410" s="624"/>
      <c r="AB2410" s="663">
        <v>39139000600</v>
      </c>
      <c r="AC2410" s="663" t="s">
        <v>7342</v>
      </c>
      <c r="AD2410" s="663" t="s">
        <v>4950</v>
      </c>
      <c r="AE2410" s="663" t="s">
        <v>4939</v>
      </c>
      <c r="AF2410" s="663" t="s">
        <v>4962</v>
      </c>
    </row>
    <row r="2411" spans="1:32" s="608" customFormat="1" x14ac:dyDescent="0.25">
      <c r="A2411" s="624"/>
      <c r="B2411" s="617">
        <v>39113080500</v>
      </c>
      <c r="C2411" s="617" t="s">
        <v>4079</v>
      </c>
      <c r="D2411" s="617" t="s">
        <v>80</v>
      </c>
      <c r="E2411" s="617" t="s">
        <v>4856</v>
      </c>
      <c r="F2411" s="617" t="s">
        <v>24</v>
      </c>
      <c r="G2411" s="624"/>
      <c r="O2411" s="616"/>
      <c r="P2411" s="616"/>
      <c r="Q2411" s="616"/>
      <c r="AA2411" s="624"/>
      <c r="AB2411" s="663">
        <v>39139000700</v>
      </c>
      <c r="AC2411" s="663" t="s">
        <v>7343</v>
      </c>
      <c r="AD2411" s="663" t="s">
        <v>4950</v>
      </c>
      <c r="AE2411" s="663" t="s">
        <v>4934</v>
      </c>
      <c r="AF2411" s="663" t="s">
        <v>4962</v>
      </c>
    </row>
    <row r="2412" spans="1:32" s="608" customFormat="1" x14ac:dyDescent="0.25">
      <c r="A2412" s="624"/>
      <c r="B2412" s="617">
        <v>39113080600</v>
      </c>
      <c r="C2412" s="617" t="s">
        <v>4080</v>
      </c>
      <c r="D2412" s="617" t="s">
        <v>80</v>
      </c>
      <c r="E2412" s="617" t="s">
        <v>4856</v>
      </c>
      <c r="F2412" s="617" t="s">
        <v>26</v>
      </c>
      <c r="G2412" s="624"/>
      <c r="O2412" s="616"/>
      <c r="P2412" s="616"/>
      <c r="Q2412" s="616"/>
      <c r="AA2412" s="624"/>
      <c r="AB2412" s="663">
        <v>39139000800</v>
      </c>
      <c r="AC2412" s="663" t="s">
        <v>7344</v>
      </c>
      <c r="AD2412" s="663" t="s">
        <v>4941</v>
      </c>
      <c r="AE2412" s="663" t="s">
        <v>4928</v>
      </c>
      <c r="AF2412" s="663" t="s">
        <v>4962</v>
      </c>
    </row>
    <row r="2413" spans="1:32" s="608" customFormat="1" x14ac:dyDescent="0.25">
      <c r="A2413" s="624"/>
      <c r="B2413" s="617">
        <v>39113080700</v>
      </c>
      <c r="C2413" s="617" t="s">
        <v>4081</v>
      </c>
      <c r="D2413" s="617" t="s">
        <v>80</v>
      </c>
      <c r="E2413" s="617" t="s">
        <v>4856</v>
      </c>
      <c r="F2413" s="617" t="s">
        <v>24</v>
      </c>
      <c r="G2413" s="624"/>
      <c r="O2413" s="616"/>
      <c r="P2413" s="616"/>
      <c r="Q2413" s="616"/>
      <c r="AA2413" s="624"/>
      <c r="AB2413" s="663">
        <v>39139000900</v>
      </c>
      <c r="AC2413" s="663" t="s">
        <v>7345</v>
      </c>
      <c r="AD2413" s="663" t="s">
        <v>4950</v>
      </c>
      <c r="AE2413" s="663" t="s">
        <v>4928</v>
      </c>
      <c r="AF2413" s="663" t="s">
        <v>4946</v>
      </c>
    </row>
    <row r="2414" spans="1:32" s="608" customFormat="1" x14ac:dyDescent="0.25">
      <c r="A2414" s="624"/>
      <c r="B2414" s="617">
        <v>39113090302</v>
      </c>
      <c r="C2414" s="617" t="s">
        <v>4082</v>
      </c>
      <c r="D2414" s="617" t="s">
        <v>80</v>
      </c>
      <c r="E2414" s="617" t="s">
        <v>4856</v>
      </c>
      <c r="F2414" s="617" t="s">
        <v>26</v>
      </c>
      <c r="G2414" s="624"/>
      <c r="O2414" s="616"/>
      <c r="P2414" s="616"/>
      <c r="Q2414" s="616"/>
      <c r="AA2414" s="624"/>
      <c r="AB2414" s="663">
        <v>39139001000</v>
      </c>
      <c r="AC2414" s="663" t="s">
        <v>7346</v>
      </c>
      <c r="AD2414" s="663" t="s">
        <v>4927</v>
      </c>
      <c r="AE2414" s="663" t="s">
        <v>4934</v>
      </c>
      <c r="AF2414" s="663" t="s">
        <v>4946</v>
      </c>
    </row>
    <row r="2415" spans="1:32" s="608" customFormat="1" x14ac:dyDescent="0.25">
      <c r="A2415" s="624"/>
      <c r="B2415" s="617">
        <v>39113090303</v>
      </c>
      <c r="C2415" s="617" t="s">
        <v>4083</v>
      </c>
      <c r="D2415" s="617" t="s">
        <v>80</v>
      </c>
      <c r="E2415" s="617" t="s">
        <v>4856</v>
      </c>
      <c r="F2415" s="617" t="s">
        <v>26</v>
      </c>
      <c r="G2415" s="624"/>
      <c r="O2415" s="616"/>
      <c r="P2415" s="616"/>
      <c r="Q2415" s="616"/>
      <c r="AA2415" s="624"/>
      <c r="AB2415" s="663">
        <v>39139001100</v>
      </c>
      <c r="AC2415" s="663" t="s">
        <v>7347</v>
      </c>
      <c r="AD2415" s="663" t="s">
        <v>4927</v>
      </c>
      <c r="AE2415" s="663" t="s">
        <v>4928</v>
      </c>
      <c r="AF2415" s="663" t="s">
        <v>4946</v>
      </c>
    </row>
    <row r="2416" spans="1:32" s="608" customFormat="1" x14ac:dyDescent="0.25">
      <c r="A2416" s="624"/>
      <c r="B2416" s="617">
        <v>39113090304</v>
      </c>
      <c r="C2416" s="617" t="s">
        <v>4084</v>
      </c>
      <c r="D2416" s="617" t="s">
        <v>80</v>
      </c>
      <c r="E2416" s="617" t="s">
        <v>4856</v>
      </c>
      <c r="F2416" s="617" t="s">
        <v>26</v>
      </c>
      <c r="G2416" s="624"/>
      <c r="O2416" s="616"/>
      <c r="P2416" s="616"/>
      <c r="Q2416" s="616"/>
      <c r="AA2416" s="624"/>
      <c r="AB2416" s="663">
        <v>39139001200</v>
      </c>
      <c r="AC2416" s="663" t="s">
        <v>7348</v>
      </c>
      <c r="AD2416" s="663" t="s">
        <v>4950</v>
      </c>
      <c r="AE2416" s="663" t="s">
        <v>4934</v>
      </c>
      <c r="AF2416" s="663" t="s">
        <v>4946</v>
      </c>
    </row>
    <row r="2417" spans="1:32" s="608" customFormat="1" x14ac:dyDescent="0.25">
      <c r="A2417" s="624"/>
      <c r="B2417" s="617">
        <v>39113090600</v>
      </c>
      <c r="C2417" s="617" t="s">
        <v>4085</v>
      </c>
      <c r="D2417" s="617" t="s">
        <v>80</v>
      </c>
      <c r="E2417" s="617" t="s">
        <v>4856</v>
      </c>
      <c r="F2417" s="617" t="s">
        <v>24</v>
      </c>
      <c r="G2417" s="624"/>
      <c r="O2417" s="616"/>
      <c r="P2417" s="616"/>
      <c r="Q2417" s="616"/>
      <c r="AA2417" s="624"/>
      <c r="AB2417" s="663">
        <v>39139001300</v>
      </c>
      <c r="AC2417" s="663" t="s">
        <v>7349</v>
      </c>
      <c r="AD2417" s="663" t="s">
        <v>4938</v>
      </c>
      <c r="AE2417" s="663" t="s">
        <v>4934</v>
      </c>
      <c r="AF2417" s="663" t="s">
        <v>4962</v>
      </c>
    </row>
    <row r="2418" spans="1:32" s="608" customFormat="1" x14ac:dyDescent="0.25">
      <c r="A2418" s="624"/>
      <c r="B2418" s="617">
        <v>39113090700</v>
      </c>
      <c r="C2418" s="617" t="s">
        <v>4086</v>
      </c>
      <c r="D2418" s="617" t="s">
        <v>80</v>
      </c>
      <c r="E2418" s="617" t="s">
        <v>4856</v>
      </c>
      <c r="F2418" s="617" t="s">
        <v>26</v>
      </c>
      <c r="G2418" s="624"/>
      <c r="O2418" s="616"/>
      <c r="P2418" s="616"/>
      <c r="Q2418" s="616"/>
      <c r="AA2418" s="624"/>
      <c r="AB2418" s="663">
        <v>39139001400</v>
      </c>
      <c r="AC2418" s="663" t="s">
        <v>7350</v>
      </c>
      <c r="AD2418" s="663" t="s">
        <v>4927</v>
      </c>
      <c r="AE2418" s="663" t="s">
        <v>4939</v>
      </c>
      <c r="AF2418" s="663" t="s">
        <v>4946</v>
      </c>
    </row>
    <row r="2419" spans="1:32" s="608" customFormat="1" x14ac:dyDescent="0.25">
      <c r="A2419" s="624"/>
      <c r="B2419" s="617">
        <v>39113090800</v>
      </c>
      <c r="C2419" s="617" t="s">
        <v>4087</v>
      </c>
      <c r="D2419" s="617" t="s">
        <v>80</v>
      </c>
      <c r="E2419" s="617" t="s">
        <v>4856</v>
      </c>
      <c r="F2419" s="617" t="s">
        <v>26</v>
      </c>
      <c r="G2419" s="624"/>
      <c r="O2419" s="616"/>
      <c r="P2419" s="616"/>
      <c r="Q2419" s="616"/>
      <c r="AA2419" s="624"/>
      <c r="AB2419" s="663">
        <v>39139001500</v>
      </c>
      <c r="AC2419" s="663" t="s">
        <v>7351</v>
      </c>
      <c r="AD2419" s="663" t="s">
        <v>4927</v>
      </c>
      <c r="AE2419" s="663" t="s">
        <v>4931</v>
      </c>
      <c r="AF2419" s="663" t="s">
        <v>4946</v>
      </c>
    </row>
    <row r="2420" spans="1:32" s="608" customFormat="1" x14ac:dyDescent="0.25">
      <c r="A2420" s="624"/>
      <c r="B2420" s="617">
        <v>39113090900</v>
      </c>
      <c r="C2420" s="617" t="s">
        <v>4088</v>
      </c>
      <c r="D2420" s="617" t="s">
        <v>80</v>
      </c>
      <c r="E2420" s="617" t="s">
        <v>4856</v>
      </c>
      <c r="F2420" s="617" t="s">
        <v>26</v>
      </c>
      <c r="G2420" s="624"/>
      <c r="O2420" s="616"/>
      <c r="P2420" s="616"/>
      <c r="Q2420" s="616"/>
      <c r="AA2420" s="624"/>
      <c r="AB2420" s="663">
        <v>39139001600</v>
      </c>
      <c r="AC2420" s="663" t="s">
        <v>7352</v>
      </c>
      <c r="AD2420" s="663" t="s">
        <v>4927</v>
      </c>
      <c r="AE2420" s="663" t="s">
        <v>4928</v>
      </c>
      <c r="AF2420" s="663" t="s">
        <v>4946</v>
      </c>
    </row>
    <row r="2421" spans="1:32" s="608" customFormat="1" x14ac:dyDescent="0.25">
      <c r="A2421" s="624"/>
      <c r="B2421" s="617">
        <v>39113091000</v>
      </c>
      <c r="C2421" s="617" t="s">
        <v>4089</v>
      </c>
      <c r="D2421" s="617" t="s">
        <v>80</v>
      </c>
      <c r="E2421" s="617" t="s">
        <v>4856</v>
      </c>
      <c r="F2421" s="617" t="s">
        <v>26</v>
      </c>
      <c r="G2421" s="624"/>
      <c r="O2421" s="616"/>
      <c r="P2421" s="616"/>
      <c r="Q2421" s="616"/>
      <c r="AA2421" s="624"/>
      <c r="AB2421" s="663">
        <v>39139001700</v>
      </c>
      <c r="AC2421" s="663" t="s">
        <v>7353</v>
      </c>
      <c r="AD2421" s="663" t="s">
        <v>4927</v>
      </c>
      <c r="AE2421" s="663" t="s">
        <v>4931</v>
      </c>
      <c r="AF2421" s="663" t="s">
        <v>4946</v>
      </c>
    </row>
    <row r="2422" spans="1:32" s="608" customFormat="1" x14ac:dyDescent="0.25">
      <c r="A2422" s="624"/>
      <c r="B2422" s="617">
        <v>39113091100</v>
      </c>
      <c r="C2422" s="617" t="s">
        <v>4090</v>
      </c>
      <c r="D2422" s="617" t="s">
        <v>80</v>
      </c>
      <c r="E2422" s="617" t="s">
        <v>4856</v>
      </c>
      <c r="F2422" s="617" t="s">
        <v>26</v>
      </c>
      <c r="G2422" s="624"/>
      <c r="O2422" s="616"/>
      <c r="P2422" s="616"/>
      <c r="Q2422" s="616"/>
      <c r="AA2422" s="624"/>
      <c r="AB2422" s="663">
        <v>39139001800</v>
      </c>
      <c r="AC2422" s="663" t="s">
        <v>7354</v>
      </c>
      <c r="AD2422" s="663" t="s">
        <v>4950</v>
      </c>
      <c r="AE2422" s="663" t="s">
        <v>4942</v>
      </c>
      <c r="AF2422" s="663" t="s">
        <v>4946</v>
      </c>
    </row>
    <row r="2423" spans="1:32" s="608" customFormat="1" x14ac:dyDescent="0.25">
      <c r="A2423" s="624"/>
      <c r="B2423" s="617">
        <v>39113100101</v>
      </c>
      <c r="C2423" s="617" t="s">
        <v>4091</v>
      </c>
      <c r="D2423" s="617" t="s">
        <v>80</v>
      </c>
      <c r="E2423" s="617" t="s">
        <v>4856</v>
      </c>
      <c r="F2423" s="617" t="s">
        <v>26</v>
      </c>
      <c r="G2423" s="624"/>
      <c r="O2423" s="616"/>
      <c r="P2423" s="616"/>
      <c r="Q2423" s="616"/>
      <c r="AA2423" s="624"/>
      <c r="AB2423" s="663">
        <v>39139001900</v>
      </c>
      <c r="AC2423" s="663" t="s">
        <v>7355</v>
      </c>
      <c r="AD2423" s="663" t="s">
        <v>4941</v>
      </c>
      <c r="AE2423" s="663" t="s">
        <v>4931</v>
      </c>
      <c r="AF2423" s="663" t="s">
        <v>4929</v>
      </c>
    </row>
    <row r="2424" spans="1:32" s="608" customFormat="1" x14ac:dyDescent="0.25">
      <c r="A2424" s="624"/>
      <c r="B2424" s="617">
        <v>39113100102</v>
      </c>
      <c r="C2424" s="617" t="s">
        <v>4092</v>
      </c>
      <c r="D2424" s="617" t="s">
        <v>80</v>
      </c>
      <c r="E2424" s="617" t="s">
        <v>4856</v>
      </c>
      <c r="F2424" s="617" t="s">
        <v>26</v>
      </c>
      <c r="G2424" s="624"/>
      <c r="O2424" s="616"/>
      <c r="P2424" s="616"/>
      <c r="Q2424" s="616"/>
      <c r="AA2424" s="624"/>
      <c r="AB2424" s="663">
        <v>39139002000</v>
      </c>
      <c r="AC2424" s="663" t="s">
        <v>7356</v>
      </c>
      <c r="AD2424" s="663" t="s">
        <v>4948</v>
      </c>
      <c r="AE2424" s="663" t="s">
        <v>4942</v>
      </c>
      <c r="AF2424" s="663" t="s">
        <v>4929</v>
      </c>
    </row>
    <row r="2425" spans="1:32" s="608" customFormat="1" x14ac:dyDescent="0.25">
      <c r="A2425" s="624"/>
      <c r="B2425" s="617">
        <v>39113100201</v>
      </c>
      <c r="C2425" s="617" t="s">
        <v>4093</v>
      </c>
      <c r="D2425" s="617" t="s">
        <v>80</v>
      </c>
      <c r="E2425" s="617" t="s">
        <v>4856</v>
      </c>
      <c r="F2425" s="617" t="s">
        <v>26</v>
      </c>
      <c r="G2425" s="624"/>
      <c r="O2425" s="616"/>
      <c r="P2425" s="616"/>
      <c r="Q2425" s="616"/>
      <c r="AA2425" s="624"/>
      <c r="AB2425" s="663">
        <v>39139002101</v>
      </c>
      <c r="AC2425" s="663" t="s">
        <v>7357</v>
      </c>
      <c r="AD2425" s="663" t="s">
        <v>4948</v>
      </c>
      <c r="AE2425" s="663" t="s">
        <v>4942</v>
      </c>
      <c r="AF2425" s="663" t="s">
        <v>4946</v>
      </c>
    </row>
    <row r="2426" spans="1:32" s="608" customFormat="1" x14ac:dyDescent="0.25">
      <c r="A2426" s="624"/>
      <c r="B2426" s="617">
        <v>39113100202</v>
      </c>
      <c r="C2426" s="617" t="s">
        <v>4094</v>
      </c>
      <c r="D2426" s="617" t="s">
        <v>80</v>
      </c>
      <c r="E2426" s="617" t="s">
        <v>4856</v>
      </c>
      <c r="F2426" s="617" t="s">
        <v>26</v>
      </c>
      <c r="G2426" s="624"/>
      <c r="O2426" s="616"/>
      <c r="P2426" s="616"/>
      <c r="Q2426" s="616"/>
      <c r="AA2426" s="624"/>
      <c r="AB2426" s="663">
        <v>39139002102</v>
      </c>
      <c r="AC2426" s="663" t="s">
        <v>7358</v>
      </c>
      <c r="AD2426" s="663" t="s">
        <v>4948</v>
      </c>
      <c r="AE2426" s="663" t="s">
        <v>4934</v>
      </c>
      <c r="AF2426" s="663" t="s">
        <v>4946</v>
      </c>
    </row>
    <row r="2427" spans="1:32" s="608" customFormat="1" x14ac:dyDescent="0.25">
      <c r="A2427" s="624"/>
      <c r="B2427" s="617">
        <v>39113100203</v>
      </c>
      <c r="C2427" s="617" t="s">
        <v>4095</v>
      </c>
      <c r="D2427" s="617" t="s">
        <v>80</v>
      </c>
      <c r="E2427" s="617" t="s">
        <v>4856</v>
      </c>
      <c r="F2427" s="617" t="s">
        <v>26</v>
      </c>
      <c r="G2427" s="624"/>
      <c r="O2427" s="616"/>
      <c r="P2427" s="616"/>
      <c r="Q2427" s="616"/>
      <c r="AA2427" s="624"/>
      <c r="AB2427" s="663">
        <v>39139002200</v>
      </c>
      <c r="AC2427" s="663" t="s">
        <v>7359</v>
      </c>
      <c r="AD2427" s="663" t="s">
        <v>4938</v>
      </c>
      <c r="AE2427" s="663" t="s">
        <v>4942</v>
      </c>
      <c r="AF2427" s="663" t="s">
        <v>4929</v>
      </c>
    </row>
    <row r="2428" spans="1:32" s="608" customFormat="1" x14ac:dyDescent="0.25">
      <c r="A2428" s="624"/>
      <c r="B2428" s="617">
        <v>39113100301</v>
      </c>
      <c r="C2428" s="617" t="s">
        <v>4096</v>
      </c>
      <c r="D2428" s="617" t="s">
        <v>80</v>
      </c>
      <c r="E2428" s="617" t="s">
        <v>4856</v>
      </c>
      <c r="F2428" s="617" t="s">
        <v>26</v>
      </c>
      <c r="G2428" s="624"/>
      <c r="O2428" s="616"/>
      <c r="P2428" s="616"/>
      <c r="Q2428" s="616"/>
      <c r="AA2428" s="624"/>
      <c r="AB2428" s="663">
        <v>39139002300</v>
      </c>
      <c r="AC2428" s="663" t="s">
        <v>7360</v>
      </c>
      <c r="AD2428" s="663" t="s">
        <v>4938</v>
      </c>
      <c r="AE2428" s="663" t="s">
        <v>4939</v>
      </c>
      <c r="AF2428" s="663" t="s">
        <v>4929</v>
      </c>
    </row>
    <row r="2429" spans="1:32" s="608" customFormat="1" x14ac:dyDescent="0.25">
      <c r="A2429" s="624"/>
      <c r="B2429" s="617">
        <v>39113100302</v>
      </c>
      <c r="C2429" s="617" t="s">
        <v>4097</v>
      </c>
      <c r="D2429" s="617" t="s">
        <v>80</v>
      </c>
      <c r="E2429" s="617" t="s">
        <v>4856</v>
      </c>
      <c r="F2429" s="617" t="s">
        <v>26</v>
      </c>
      <c r="G2429" s="624"/>
      <c r="O2429" s="616"/>
      <c r="P2429" s="616"/>
      <c r="Q2429" s="616"/>
      <c r="AA2429" s="624"/>
      <c r="AB2429" s="663">
        <v>39139002400</v>
      </c>
      <c r="AC2429" s="663" t="s">
        <v>7361</v>
      </c>
      <c r="AD2429" s="663" t="s">
        <v>4941</v>
      </c>
      <c r="AE2429" s="663" t="s">
        <v>4934</v>
      </c>
      <c r="AF2429" s="663" t="s">
        <v>4946</v>
      </c>
    </row>
    <row r="2430" spans="1:32" s="608" customFormat="1" x14ac:dyDescent="0.25">
      <c r="A2430" s="624"/>
      <c r="B2430" s="617">
        <v>39113100400</v>
      </c>
      <c r="C2430" s="617" t="s">
        <v>4098</v>
      </c>
      <c r="D2430" s="617" t="s">
        <v>80</v>
      </c>
      <c r="E2430" s="617" t="s">
        <v>4856</v>
      </c>
      <c r="F2430" s="617" t="s">
        <v>26</v>
      </c>
      <c r="G2430" s="624"/>
      <c r="O2430" s="616"/>
      <c r="P2430" s="616"/>
      <c r="Q2430" s="616"/>
      <c r="AA2430" s="624"/>
      <c r="AB2430" s="663">
        <v>39139002500</v>
      </c>
      <c r="AC2430" s="663" t="s">
        <v>7362</v>
      </c>
      <c r="AD2430" s="663" t="s">
        <v>4941</v>
      </c>
      <c r="AE2430" s="663" t="s">
        <v>4939</v>
      </c>
      <c r="AF2430" s="663" t="s">
        <v>4929</v>
      </c>
    </row>
    <row r="2431" spans="1:32" s="608" customFormat="1" x14ac:dyDescent="0.25">
      <c r="A2431" s="624"/>
      <c r="B2431" s="617">
        <v>39113110100</v>
      </c>
      <c r="C2431" s="617" t="s">
        <v>4099</v>
      </c>
      <c r="D2431" s="617" t="s">
        <v>80</v>
      </c>
      <c r="E2431" s="617" t="s">
        <v>4856</v>
      </c>
      <c r="F2431" s="617" t="s">
        <v>26</v>
      </c>
      <c r="G2431" s="624"/>
      <c r="O2431" s="616"/>
      <c r="P2431" s="616"/>
      <c r="Q2431" s="616"/>
      <c r="AA2431" s="624"/>
      <c r="AB2431" s="663">
        <v>39139002600</v>
      </c>
      <c r="AC2431" s="663" t="s">
        <v>7363</v>
      </c>
      <c r="AD2431" s="663" t="s">
        <v>4950</v>
      </c>
      <c r="AE2431" s="663" t="s">
        <v>4928</v>
      </c>
      <c r="AF2431" s="663" t="s">
        <v>4929</v>
      </c>
    </row>
    <row r="2432" spans="1:32" s="608" customFormat="1" x14ac:dyDescent="0.25">
      <c r="A2432" s="624"/>
      <c r="B2432" s="617">
        <v>39113110201</v>
      </c>
      <c r="C2432" s="617" t="s">
        <v>4100</v>
      </c>
      <c r="D2432" s="617" t="s">
        <v>80</v>
      </c>
      <c r="E2432" s="617" t="s">
        <v>4856</v>
      </c>
      <c r="F2432" s="617" t="s">
        <v>26</v>
      </c>
      <c r="G2432" s="624"/>
      <c r="O2432" s="616"/>
      <c r="P2432" s="616"/>
      <c r="Q2432" s="616"/>
      <c r="AA2432" s="624"/>
      <c r="AB2432" s="663">
        <v>39139002700</v>
      </c>
      <c r="AC2432" s="663" t="s">
        <v>7364</v>
      </c>
      <c r="AD2432" s="663" t="s">
        <v>4941</v>
      </c>
      <c r="AE2432" s="663" t="s">
        <v>4939</v>
      </c>
      <c r="AF2432" s="663" t="s">
        <v>4929</v>
      </c>
    </row>
    <row r="2433" spans="1:32" s="608" customFormat="1" x14ac:dyDescent="0.25">
      <c r="A2433" s="624"/>
      <c r="B2433" s="617">
        <v>39113110202</v>
      </c>
      <c r="C2433" s="617" t="s">
        <v>4101</v>
      </c>
      <c r="D2433" s="617" t="s">
        <v>80</v>
      </c>
      <c r="E2433" s="617" t="s">
        <v>4856</v>
      </c>
      <c r="F2433" s="617" t="s">
        <v>26</v>
      </c>
      <c r="G2433" s="624"/>
      <c r="O2433" s="616"/>
      <c r="P2433" s="616"/>
      <c r="Q2433" s="616"/>
      <c r="AA2433" s="624"/>
      <c r="AB2433" s="663">
        <v>39139002800</v>
      </c>
      <c r="AC2433" s="663" t="s">
        <v>7365</v>
      </c>
      <c r="AD2433" s="663" t="s">
        <v>4927</v>
      </c>
      <c r="AE2433" s="663" t="s">
        <v>4934</v>
      </c>
      <c r="AF2433" s="663" t="s">
        <v>4929</v>
      </c>
    </row>
    <row r="2434" spans="1:32" s="608" customFormat="1" x14ac:dyDescent="0.25">
      <c r="A2434" s="624"/>
      <c r="B2434" s="617">
        <v>39113115002</v>
      </c>
      <c r="C2434" s="617" t="s">
        <v>4102</v>
      </c>
      <c r="D2434" s="617" t="s">
        <v>80</v>
      </c>
      <c r="E2434" s="617" t="s">
        <v>4856</v>
      </c>
      <c r="F2434" s="617" t="s">
        <v>26</v>
      </c>
      <c r="G2434" s="624"/>
      <c r="O2434" s="616"/>
      <c r="P2434" s="616"/>
      <c r="Q2434" s="616"/>
      <c r="AA2434" s="624"/>
      <c r="AB2434" s="663">
        <v>39139002900</v>
      </c>
      <c r="AC2434" s="663" t="s">
        <v>7366</v>
      </c>
      <c r="AD2434" s="663" t="s">
        <v>4950</v>
      </c>
      <c r="AE2434" s="663" t="s">
        <v>4931</v>
      </c>
      <c r="AF2434" s="663" t="s">
        <v>4929</v>
      </c>
    </row>
    <row r="2435" spans="1:32" s="608" customFormat="1" x14ac:dyDescent="0.25">
      <c r="A2435" s="624"/>
      <c r="B2435" s="617">
        <v>39113115011</v>
      </c>
      <c r="C2435" s="617" t="s">
        <v>4103</v>
      </c>
      <c r="D2435" s="617" t="s">
        <v>80</v>
      </c>
      <c r="E2435" s="617" t="s">
        <v>4856</v>
      </c>
      <c r="F2435" s="617" t="s">
        <v>26</v>
      </c>
      <c r="G2435" s="624"/>
      <c r="O2435" s="616"/>
      <c r="P2435" s="616"/>
      <c r="Q2435" s="616"/>
      <c r="AA2435" s="624"/>
      <c r="AB2435" s="663">
        <v>39139003001</v>
      </c>
      <c r="AC2435" s="663" t="s">
        <v>7367</v>
      </c>
      <c r="AD2435" s="663" t="s">
        <v>4948</v>
      </c>
      <c r="AE2435" s="663" t="s">
        <v>4931</v>
      </c>
      <c r="AF2435" s="663" t="s">
        <v>4929</v>
      </c>
    </row>
    <row r="2436" spans="1:32" s="608" customFormat="1" x14ac:dyDescent="0.25">
      <c r="A2436" s="624"/>
      <c r="B2436" s="617">
        <v>39113115012</v>
      </c>
      <c r="C2436" s="617" t="s">
        <v>4104</v>
      </c>
      <c r="D2436" s="617" t="s">
        <v>80</v>
      </c>
      <c r="E2436" s="617" t="s">
        <v>4856</v>
      </c>
      <c r="F2436" s="617" t="s">
        <v>26</v>
      </c>
      <c r="G2436" s="624"/>
      <c r="O2436" s="616"/>
      <c r="P2436" s="616"/>
      <c r="Q2436" s="616"/>
      <c r="AA2436" s="624"/>
      <c r="AB2436" s="663">
        <v>39139003002</v>
      </c>
      <c r="AC2436" s="663" t="s">
        <v>7368</v>
      </c>
      <c r="AD2436" s="663" t="s">
        <v>4950</v>
      </c>
      <c r="AE2436" s="663" t="s">
        <v>4934</v>
      </c>
      <c r="AF2436" s="663" t="s">
        <v>4929</v>
      </c>
    </row>
    <row r="2437" spans="1:32" s="608" customFormat="1" x14ac:dyDescent="0.25">
      <c r="A2437" s="624"/>
      <c r="B2437" s="617">
        <v>39113120101</v>
      </c>
      <c r="C2437" s="617" t="s">
        <v>4105</v>
      </c>
      <c r="D2437" s="617" t="s">
        <v>80</v>
      </c>
      <c r="E2437" s="617" t="s">
        <v>4856</v>
      </c>
      <c r="F2437" s="617" t="s">
        <v>26</v>
      </c>
      <c r="G2437" s="624"/>
      <c r="O2437" s="616"/>
      <c r="P2437" s="616"/>
      <c r="Q2437" s="616"/>
      <c r="AA2437" s="624"/>
      <c r="AB2437" s="663">
        <v>39139003100</v>
      </c>
      <c r="AC2437" s="663" t="s">
        <v>7369</v>
      </c>
      <c r="AD2437" s="663" t="s">
        <v>4950</v>
      </c>
      <c r="AE2437" s="663" t="s">
        <v>4934</v>
      </c>
      <c r="AF2437" s="663" t="s">
        <v>4962</v>
      </c>
    </row>
    <row r="2438" spans="1:32" s="608" customFormat="1" x14ac:dyDescent="0.25">
      <c r="A2438" s="624"/>
      <c r="B2438" s="617">
        <v>39113120102</v>
      </c>
      <c r="C2438" s="617" t="s">
        <v>4106</v>
      </c>
      <c r="D2438" s="617" t="s">
        <v>80</v>
      </c>
      <c r="E2438" s="617" t="s">
        <v>4856</v>
      </c>
      <c r="F2438" s="617" t="s">
        <v>26</v>
      </c>
      <c r="G2438" s="624"/>
      <c r="O2438" s="616"/>
      <c r="P2438" s="616"/>
      <c r="Q2438" s="616"/>
      <c r="AA2438" s="624"/>
      <c r="AB2438" s="663">
        <v>39141955500</v>
      </c>
      <c r="AC2438" s="663" t="s">
        <v>7370</v>
      </c>
      <c r="AD2438" s="663" t="s">
        <v>4950</v>
      </c>
      <c r="AE2438" s="663" t="s">
        <v>4934</v>
      </c>
      <c r="AF2438" s="663" t="s">
        <v>4929</v>
      </c>
    </row>
    <row r="2439" spans="1:32" s="608" customFormat="1" x14ac:dyDescent="0.25">
      <c r="A2439" s="624"/>
      <c r="B2439" s="617">
        <v>39113120103</v>
      </c>
      <c r="C2439" s="617" t="s">
        <v>4107</v>
      </c>
      <c r="D2439" s="617" t="s">
        <v>80</v>
      </c>
      <c r="E2439" s="617" t="s">
        <v>4856</v>
      </c>
      <c r="F2439" s="617" t="s">
        <v>26</v>
      </c>
      <c r="G2439" s="624"/>
      <c r="O2439" s="616"/>
      <c r="P2439" s="616"/>
      <c r="Q2439" s="616"/>
      <c r="AA2439" s="624"/>
      <c r="AB2439" s="663">
        <v>39141955601</v>
      </c>
      <c r="AC2439" s="663" t="s">
        <v>7371</v>
      </c>
      <c r="AD2439" s="663" t="s">
        <v>4950</v>
      </c>
      <c r="AE2439" s="663" t="s">
        <v>4931</v>
      </c>
      <c r="AF2439" s="663" t="s">
        <v>4929</v>
      </c>
    </row>
    <row r="2440" spans="1:32" s="608" customFormat="1" x14ac:dyDescent="0.25">
      <c r="A2440" s="624"/>
      <c r="B2440" s="617">
        <v>39113125000</v>
      </c>
      <c r="C2440" s="617" t="s">
        <v>4108</v>
      </c>
      <c r="D2440" s="617" t="s">
        <v>80</v>
      </c>
      <c r="E2440" s="617" t="s">
        <v>4856</v>
      </c>
      <c r="F2440" s="617" t="s">
        <v>26</v>
      </c>
      <c r="G2440" s="624"/>
      <c r="O2440" s="616"/>
      <c r="P2440" s="616"/>
      <c r="Q2440" s="616"/>
      <c r="AA2440" s="624"/>
      <c r="AB2440" s="663">
        <v>39141955602</v>
      </c>
      <c r="AC2440" s="663" t="s">
        <v>7372</v>
      </c>
      <c r="AD2440" s="663" t="s">
        <v>4927</v>
      </c>
      <c r="AE2440" s="663" t="s">
        <v>5006</v>
      </c>
      <c r="AF2440" s="663" t="s">
        <v>4929</v>
      </c>
    </row>
    <row r="2441" spans="1:32" s="608" customFormat="1" x14ac:dyDescent="0.25">
      <c r="A2441" s="624"/>
      <c r="B2441" s="617">
        <v>39113125102</v>
      </c>
      <c r="C2441" s="617" t="s">
        <v>4109</v>
      </c>
      <c r="D2441" s="617" t="s">
        <v>80</v>
      </c>
      <c r="E2441" s="617" t="s">
        <v>4856</v>
      </c>
      <c r="F2441" s="617" t="s">
        <v>26</v>
      </c>
      <c r="G2441" s="624"/>
      <c r="O2441" s="616"/>
      <c r="P2441" s="616"/>
      <c r="Q2441" s="616"/>
      <c r="AA2441" s="624"/>
      <c r="AB2441" s="663">
        <v>39141955603</v>
      </c>
      <c r="AC2441" s="663" t="s">
        <v>7373</v>
      </c>
      <c r="AD2441" s="663" t="s">
        <v>4950</v>
      </c>
      <c r="AE2441" s="663" t="s">
        <v>4942</v>
      </c>
      <c r="AF2441" s="663" t="s">
        <v>4929</v>
      </c>
    </row>
    <row r="2442" spans="1:32" s="608" customFormat="1" x14ac:dyDescent="0.25">
      <c r="A2442" s="624"/>
      <c r="B2442" s="617">
        <v>39113125103</v>
      </c>
      <c r="C2442" s="617" t="s">
        <v>4110</v>
      </c>
      <c r="D2442" s="617" t="s">
        <v>80</v>
      </c>
      <c r="E2442" s="617" t="s">
        <v>4856</v>
      </c>
      <c r="F2442" s="617" t="s">
        <v>26</v>
      </c>
      <c r="G2442" s="624"/>
      <c r="O2442" s="616"/>
      <c r="P2442" s="616"/>
      <c r="Q2442" s="616"/>
      <c r="AA2442" s="624"/>
      <c r="AB2442" s="663">
        <v>39141955700</v>
      </c>
      <c r="AC2442" s="663" t="s">
        <v>7374</v>
      </c>
      <c r="AD2442" s="663" t="s">
        <v>4927</v>
      </c>
      <c r="AE2442" s="663" t="s">
        <v>4931</v>
      </c>
      <c r="AF2442" s="663" t="s">
        <v>4929</v>
      </c>
    </row>
    <row r="2443" spans="1:32" s="608" customFormat="1" x14ac:dyDescent="0.25">
      <c r="A2443" s="624"/>
      <c r="B2443" s="617">
        <v>39113125104</v>
      </c>
      <c r="C2443" s="617" t="s">
        <v>4111</v>
      </c>
      <c r="D2443" s="617" t="s">
        <v>80</v>
      </c>
      <c r="E2443" s="617" t="s">
        <v>4856</v>
      </c>
      <c r="F2443" s="617" t="s">
        <v>26</v>
      </c>
      <c r="G2443" s="624"/>
      <c r="O2443" s="616"/>
      <c r="P2443" s="616"/>
      <c r="Q2443" s="616"/>
      <c r="AA2443" s="624"/>
      <c r="AB2443" s="663">
        <v>39141955800</v>
      </c>
      <c r="AC2443" s="663" t="s">
        <v>7375</v>
      </c>
      <c r="AD2443" s="663" t="s">
        <v>4950</v>
      </c>
      <c r="AE2443" s="663" t="s">
        <v>4931</v>
      </c>
      <c r="AF2443" s="663" t="s">
        <v>4929</v>
      </c>
    </row>
    <row r="2444" spans="1:32" s="608" customFormat="1" x14ac:dyDescent="0.25">
      <c r="A2444" s="624"/>
      <c r="B2444" s="617">
        <v>39113130101</v>
      </c>
      <c r="C2444" s="617" t="s">
        <v>4112</v>
      </c>
      <c r="D2444" s="617" t="s">
        <v>80</v>
      </c>
      <c r="E2444" s="617" t="s">
        <v>4856</v>
      </c>
      <c r="F2444" s="617" t="s">
        <v>26</v>
      </c>
      <c r="G2444" s="624"/>
      <c r="O2444" s="616"/>
      <c r="P2444" s="616"/>
      <c r="Q2444" s="616"/>
      <c r="AA2444" s="624"/>
      <c r="AB2444" s="663">
        <v>39141955900</v>
      </c>
      <c r="AC2444" s="663" t="s">
        <v>7376</v>
      </c>
      <c r="AD2444" s="663" t="s">
        <v>4941</v>
      </c>
      <c r="AE2444" s="663" t="s">
        <v>4934</v>
      </c>
      <c r="AF2444" s="663" t="s">
        <v>4929</v>
      </c>
    </row>
    <row r="2445" spans="1:32" s="608" customFormat="1" x14ac:dyDescent="0.25">
      <c r="A2445" s="624"/>
      <c r="B2445" s="617">
        <v>39113130102</v>
      </c>
      <c r="C2445" s="617" t="s">
        <v>4113</v>
      </c>
      <c r="D2445" s="617" t="s">
        <v>80</v>
      </c>
      <c r="E2445" s="617" t="s">
        <v>4856</v>
      </c>
      <c r="F2445" s="617" t="s">
        <v>26</v>
      </c>
      <c r="G2445" s="624"/>
      <c r="O2445" s="616"/>
      <c r="P2445" s="616"/>
      <c r="Q2445" s="616"/>
      <c r="AA2445" s="624"/>
      <c r="AB2445" s="663">
        <v>39141956000</v>
      </c>
      <c r="AC2445" s="663" t="s">
        <v>7377</v>
      </c>
      <c r="AD2445" s="663" t="s">
        <v>4948</v>
      </c>
      <c r="AE2445" s="663" t="s">
        <v>4939</v>
      </c>
      <c r="AF2445" s="663" t="s">
        <v>4929</v>
      </c>
    </row>
    <row r="2446" spans="1:32" s="608" customFormat="1" x14ac:dyDescent="0.25">
      <c r="A2446" s="624"/>
      <c r="B2446" s="617">
        <v>39113140100</v>
      </c>
      <c r="C2446" s="617" t="s">
        <v>4114</v>
      </c>
      <c r="D2446" s="617" t="s">
        <v>80</v>
      </c>
      <c r="E2446" s="617" t="s">
        <v>4856</v>
      </c>
      <c r="F2446" s="617" t="s">
        <v>26</v>
      </c>
      <c r="G2446" s="624"/>
      <c r="O2446" s="616"/>
      <c r="P2446" s="616"/>
      <c r="Q2446" s="616"/>
      <c r="AA2446" s="624"/>
      <c r="AB2446" s="663">
        <v>39141956100</v>
      </c>
      <c r="AC2446" s="663" t="s">
        <v>7378</v>
      </c>
      <c r="AD2446" s="663" t="s">
        <v>4941</v>
      </c>
      <c r="AE2446" s="663" t="s">
        <v>4939</v>
      </c>
      <c r="AF2446" s="663" t="s">
        <v>4983</v>
      </c>
    </row>
    <row r="2447" spans="1:32" s="608" customFormat="1" x14ac:dyDescent="0.25">
      <c r="A2447" s="624"/>
      <c r="B2447" s="617">
        <v>39113150100</v>
      </c>
      <c r="C2447" s="617" t="s">
        <v>4115</v>
      </c>
      <c r="D2447" s="617" t="s">
        <v>80</v>
      </c>
      <c r="E2447" s="617" t="s">
        <v>4856</v>
      </c>
      <c r="F2447" s="617" t="s">
        <v>26</v>
      </c>
      <c r="G2447" s="624"/>
      <c r="O2447" s="616"/>
      <c r="P2447" s="616"/>
      <c r="Q2447" s="616"/>
      <c r="AA2447" s="624"/>
      <c r="AB2447" s="663">
        <v>39141956200</v>
      </c>
      <c r="AC2447" s="663" t="s">
        <v>7379</v>
      </c>
      <c r="AD2447" s="663" t="s">
        <v>4950</v>
      </c>
      <c r="AE2447" s="663" t="s">
        <v>4942</v>
      </c>
      <c r="AF2447" s="663" t="s">
        <v>4983</v>
      </c>
    </row>
    <row r="2448" spans="1:32" s="608" customFormat="1" x14ac:dyDescent="0.25">
      <c r="A2448" s="624"/>
      <c r="B2448" s="617">
        <v>39113160100</v>
      </c>
      <c r="C2448" s="617" t="s">
        <v>4116</v>
      </c>
      <c r="D2448" s="617" t="s">
        <v>80</v>
      </c>
      <c r="E2448" s="617" t="s">
        <v>4856</v>
      </c>
      <c r="F2448" s="617" t="s">
        <v>26</v>
      </c>
      <c r="G2448" s="624"/>
      <c r="O2448" s="616"/>
      <c r="P2448" s="616"/>
      <c r="Q2448" s="616"/>
      <c r="AA2448" s="624"/>
      <c r="AB2448" s="663">
        <v>39141956300</v>
      </c>
      <c r="AC2448" s="663" t="s">
        <v>7380</v>
      </c>
      <c r="AD2448" s="663" t="s">
        <v>4950</v>
      </c>
      <c r="AE2448" s="663" t="s">
        <v>4942</v>
      </c>
      <c r="AF2448" s="663" t="s">
        <v>4929</v>
      </c>
    </row>
    <row r="2449" spans="1:32" s="608" customFormat="1" x14ac:dyDescent="0.25">
      <c r="A2449" s="624"/>
      <c r="B2449" s="617">
        <v>39113165000</v>
      </c>
      <c r="C2449" s="617" t="s">
        <v>4117</v>
      </c>
      <c r="D2449" s="617" t="s">
        <v>80</v>
      </c>
      <c r="E2449" s="617" t="s">
        <v>4856</v>
      </c>
      <c r="F2449" s="617" t="s">
        <v>26</v>
      </c>
      <c r="G2449" s="624"/>
      <c r="O2449" s="616"/>
      <c r="P2449" s="616"/>
      <c r="Q2449" s="616"/>
      <c r="AA2449" s="624"/>
      <c r="AB2449" s="663">
        <v>39141956400</v>
      </c>
      <c r="AC2449" s="663" t="s">
        <v>7381</v>
      </c>
      <c r="AD2449" s="663" t="s">
        <v>4927</v>
      </c>
      <c r="AE2449" s="663" t="s">
        <v>4931</v>
      </c>
      <c r="AF2449" s="663" t="s">
        <v>4983</v>
      </c>
    </row>
    <row r="2450" spans="1:32" s="608" customFormat="1" x14ac:dyDescent="0.25">
      <c r="A2450" s="624"/>
      <c r="B2450" s="617">
        <v>39113165100</v>
      </c>
      <c r="C2450" s="617" t="s">
        <v>4118</v>
      </c>
      <c r="D2450" s="617" t="s">
        <v>80</v>
      </c>
      <c r="E2450" s="617" t="s">
        <v>4856</v>
      </c>
      <c r="F2450" s="617" t="s">
        <v>24</v>
      </c>
      <c r="G2450" s="624"/>
      <c r="O2450" s="616"/>
      <c r="P2450" s="616"/>
      <c r="Q2450" s="616"/>
      <c r="AA2450" s="624"/>
      <c r="AB2450" s="663">
        <v>39141956500</v>
      </c>
      <c r="AC2450" s="663" t="s">
        <v>7382</v>
      </c>
      <c r="AD2450" s="663" t="s">
        <v>4927</v>
      </c>
      <c r="AE2450" s="663" t="s">
        <v>4928</v>
      </c>
      <c r="AF2450" s="663" t="s">
        <v>4929</v>
      </c>
    </row>
    <row r="2451" spans="1:32" s="608" customFormat="1" x14ac:dyDescent="0.25">
      <c r="A2451" s="624"/>
      <c r="B2451" s="617">
        <v>39113165200</v>
      </c>
      <c r="C2451" s="617" t="s">
        <v>4119</v>
      </c>
      <c r="D2451" s="617" t="s">
        <v>80</v>
      </c>
      <c r="E2451" s="617" t="s">
        <v>4856</v>
      </c>
      <c r="F2451" s="617" t="s">
        <v>24</v>
      </c>
      <c r="G2451" s="624"/>
      <c r="O2451" s="616"/>
      <c r="P2451" s="616"/>
      <c r="Q2451" s="616"/>
      <c r="AA2451" s="624"/>
      <c r="AB2451" s="663">
        <v>39141956600</v>
      </c>
      <c r="AC2451" s="663" t="s">
        <v>7383</v>
      </c>
      <c r="AD2451" s="663" t="s">
        <v>4950</v>
      </c>
      <c r="AE2451" s="663" t="s">
        <v>4939</v>
      </c>
      <c r="AF2451" s="663" t="s">
        <v>4929</v>
      </c>
    </row>
    <row r="2452" spans="1:32" s="608" customFormat="1" x14ac:dyDescent="0.25">
      <c r="A2452" s="624"/>
      <c r="B2452" s="617">
        <v>39113980000</v>
      </c>
      <c r="C2452" s="617" t="s">
        <v>4120</v>
      </c>
      <c r="D2452" s="617" t="s">
        <v>80</v>
      </c>
      <c r="E2452" s="617" t="s">
        <v>4856</v>
      </c>
      <c r="F2452" s="617" t="s">
        <v>26</v>
      </c>
      <c r="G2452" s="624"/>
      <c r="O2452" s="616"/>
      <c r="P2452" s="616"/>
      <c r="Q2452" s="616"/>
      <c r="AA2452" s="624"/>
      <c r="AB2452" s="663">
        <v>39141956700</v>
      </c>
      <c r="AC2452" s="663" t="s">
        <v>7384</v>
      </c>
      <c r="AD2452" s="663" t="s">
        <v>4927</v>
      </c>
      <c r="AE2452" s="663" t="s">
        <v>4931</v>
      </c>
      <c r="AF2452" s="663" t="s">
        <v>4929</v>
      </c>
    </row>
    <row r="2453" spans="1:32" s="608" customFormat="1" x14ac:dyDescent="0.25">
      <c r="A2453" s="624"/>
      <c r="B2453" s="617">
        <v>39115968800</v>
      </c>
      <c r="C2453" s="617" t="s">
        <v>4121</v>
      </c>
      <c r="D2453" s="617" t="s">
        <v>81</v>
      </c>
      <c r="E2453" s="617" t="s">
        <v>1672</v>
      </c>
      <c r="F2453" s="617" t="s">
        <v>26</v>
      </c>
      <c r="G2453" s="624"/>
      <c r="O2453" s="616"/>
      <c r="P2453" s="616"/>
      <c r="Q2453" s="616"/>
      <c r="AA2453" s="624"/>
      <c r="AB2453" s="663">
        <v>39141956800</v>
      </c>
      <c r="AC2453" s="663" t="s">
        <v>7385</v>
      </c>
      <c r="AD2453" s="663" t="s">
        <v>4927</v>
      </c>
      <c r="AE2453" s="663" t="s">
        <v>4942</v>
      </c>
      <c r="AF2453" s="663" t="s">
        <v>4929</v>
      </c>
    </row>
    <row r="2454" spans="1:32" s="608" customFormat="1" x14ac:dyDescent="0.25">
      <c r="A2454" s="624"/>
      <c r="B2454" s="617">
        <v>39115968900</v>
      </c>
      <c r="C2454" s="617" t="s">
        <v>4122</v>
      </c>
      <c r="D2454" s="617" t="s">
        <v>81</v>
      </c>
      <c r="E2454" s="617" t="s">
        <v>1672</v>
      </c>
      <c r="F2454" s="617" t="s">
        <v>26</v>
      </c>
      <c r="G2454" s="624"/>
      <c r="O2454" s="616"/>
      <c r="P2454" s="616"/>
      <c r="Q2454" s="616"/>
      <c r="AA2454" s="624"/>
      <c r="AB2454" s="663">
        <v>39141956900</v>
      </c>
      <c r="AC2454" s="663" t="s">
        <v>7386</v>
      </c>
      <c r="AD2454" s="663" t="s">
        <v>4927</v>
      </c>
      <c r="AE2454" s="663" t="s">
        <v>4928</v>
      </c>
      <c r="AF2454" s="663" t="s">
        <v>4929</v>
      </c>
    </row>
    <row r="2455" spans="1:32" s="608" customFormat="1" x14ac:dyDescent="0.25">
      <c r="A2455" s="624"/>
      <c r="B2455" s="617">
        <v>39115969000</v>
      </c>
      <c r="C2455" s="617" t="s">
        <v>4123</v>
      </c>
      <c r="D2455" s="617" t="s">
        <v>81</v>
      </c>
      <c r="E2455" s="617" t="s">
        <v>1672</v>
      </c>
      <c r="F2455" s="617" t="s">
        <v>26</v>
      </c>
      <c r="G2455" s="624"/>
      <c r="O2455" s="616"/>
      <c r="P2455" s="616"/>
      <c r="Q2455" s="616"/>
      <c r="AA2455" s="624"/>
      <c r="AB2455" s="663">
        <v>39143960800</v>
      </c>
      <c r="AC2455" s="663" t="s">
        <v>7387</v>
      </c>
      <c r="AD2455" s="663" t="s">
        <v>4948</v>
      </c>
      <c r="AE2455" s="663" t="s">
        <v>4934</v>
      </c>
      <c r="AF2455" s="663" t="s">
        <v>4929</v>
      </c>
    </row>
    <row r="2456" spans="1:32" s="608" customFormat="1" x14ac:dyDescent="0.25">
      <c r="A2456" s="624"/>
      <c r="B2456" s="617">
        <v>39115969100</v>
      </c>
      <c r="C2456" s="617" t="s">
        <v>4124</v>
      </c>
      <c r="D2456" s="617" t="s">
        <v>81</v>
      </c>
      <c r="E2456" s="617" t="s">
        <v>1672</v>
      </c>
      <c r="F2456" s="617" t="s">
        <v>26</v>
      </c>
      <c r="G2456" s="624"/>
      <c r="O2456" s="616"/>
      <c r="P2456" s="616"/>
      <c r="Q2456" s="616"/>
      <c r="AA2456" s="624"/>
      <c r="AB2456" s="663">
        <v>39143960900</v>
      </c>
      <c r="AC2456" s="663" t="s">
        <v>7388</v>
      </c>
      <c r="AD2456" s="663" t="s">
        <v>4941</v>
      </c>
      <c r="AE2456" s="663" t="s">
        <v>4942</v>
      </c>
      <c r="AF2456" s="663" t="s">
        <v>4929</v>
      </c>
    </row>
    <row r="2457" spans="1:32" s="608" customFormat="1" x14ac:dyDescent="0.25">
      <c r="A2457" s="624"/>
      <c r="B2457" s="617">
        <v>39117965000</v>
      </c>
      <c r="C2457" s="617" t="s">
        <v>4125</v>
      </c>
      <c r="D2457" s="617" t="s">
        <v>82</v>
      </c>
      <c r="E2457" s="617" t="s">
        <v>4854</v>
      </c>
      <c r="F2457" s="617" t="s">
        <v>26</v>
      </c>
      <c r="G2457" s="624"/>
      <c r="O2457" s="616"/>
      <c r="P2457" s="616"/>
      <c r="Q2457" s="616"/>
      <c r="AA2457" s="624"/>
      <c r="AB2457" s="663">
        <v>39143961000</v>
      </c>
      <c r="AC2457" s="663" t="s">
        <v>7389</v>
      </c>
      <c r="AD2457" s="663" t="s">
        <v>4941</v>
      </c>
      <c r="AE2457" s="663" t="s">
        <v>4931</v>
      </c>
      <c r="AF2457" s="663" t="s">
        <v>4929</v>
      </c>
    </row>
    <row r="2458" spans="1:32" s="608" customFormat="1" x14ac:dyDescent="0.25">
      <c r="A2458" s="624"/>
      <c r="B2458" s="617">
        <v>39117965100</v>
      </c>
      <c r="C2458" s="617" t="s">
        <v>4126</v>
      </c>
      <c r="D2458" s="617" t="s">
        <v>82</v>
      </c>
      <c r="E2458" s="617" t="s">
        <v>4854</v>
      </c>
      <c r="F2458" s="617" t="s">
        <v>26</v>
      </c>
      <c r="G2458" s="624"/>
      <c r="O2458" s="616"/>
      <c r="P2458" s="616"/>
      <c r="Q2458" s="616"/>
      <c r="AA2458" s="624"/>
      <c r="AB2458" s="663">
        <v>39143961100</v>
      </c>
      <c r="AC2458" s="663" t="s">
        <v>7390</v>
      </c>
      <c r="AD2458" s="663" t="s">
        <v>4948</v>
      </c>
      <c r="AE2458" s="663" t="s">
        <v>4939</v>
      </c>
      <c r="AF2458" s="663" t="s">
        <v>4929</v>
      </c>
    </row>
    <row r="2459" spans="1:32" s="608" customFormat="1" x14ac:dyDescent="0.25">
      <c r="A2459" s="624"/>
      <c r="B2459" s="617">
        <v>39117965201</v>
      </c>
      <c r="C2459" s="617" t="s">
        <v>4127</v>
      </c>
      <c r="D2459" s="617" t="s">
        <v>82</v>
      </c>
      <c r="E2459" s="617" t="s">
        <v>4854</v>
      </c>
      <c r="F2459" s="617" t="s">
        <v>26</v>
      </c>
      <c r="G2459" s="624"/>
      <c r="O2459" s="616"/>
      <c r="P2459" s="616"/>
      <c r="Q2459" s="616"/>
      <c r="AA2459" s="624"/>
      <c r="AB2459" s="663">
        <v>39143961200</v>
      </c>
      <c r="AC2459" s="663" t="s">
        <v>7391</v>
      </c>
      <c r="AD2459" s="663" t="s">
        <v>4941</v>
      </c>
      <c r="AE2459" s="663" t="s">
        <v>4939</v>
      </c>
      <c r="AF2459" s="663" t="s">
        <v>4929</v>
      </c>
    </row>
    <row r="2460" spans="1:32" s="608" customFormat="1" x14ac:dyDescent="0.25">
      <c r="A2460" s="624"/>
      <c r="B2460" s="617">
        <v>39117965202</v>
      </c>
      <c r="C2460" s="617" t="s">
        <v>4128</v>
      </c>
      <c r="D2460" s="617" t="s">
        <v>82</v>
      </c>
      <c r="E2460" s="617" t="s">
        <v>4854</v>
      </c>
      <c r="F2460" s="617" t="s">
        <v>26</v>
      </c>
      <c r="G2460" s="624"/>
      <c r="O2460" s="616"/>
      <c r="P2460" s="616"/>
      <c r="Q2460" s="616"/>
      <c r="AA2460" s="624"/>
      <c r="AB2460" s="663">
        <v>39143961300</v>
      </c>
      <c r="AC2460" s="663" t="s">
        <v>7392</v>
      </c>
      <c r="AD2460" s="663" t="s">
        <v>4941</v>
      </c>
      <c r="AE2460" s="663" t="s">
        <v>4934</v>
      </c>
      <c r="AF2460" s="663" t="s">
        <v>4929</v>
      </c>
    </row>
    <row r="2461" spans="1:32" s="608" customFormat="1" x14ac:dyDescent="0.25">
      <c r="A2461" s="624"/>
      <c r="B2461" s="617">
        <v>39117965300</v>
      </c>
      <c r="C2461" s="617" t="s">
        <v>4129</v>
      </c>
      <c r="D2461" s="617" t="s">
        <v>82</v>
      </c>
      <c r="E2461" s="617" t="s">
        <v>4854</v>
      </c>
      <c r="F2461" s="617" t="s">
        <v>26</v>
      </c>
      <c r="G2461" s="624"/>
      <c r="O2461" s="616"/>
      <c r="P2461" s="616"/>
      <c r="Q2461" s="616"/>
      <c r="AA2461" s="624"/>
      <c r="AB2461" s="663">
        <v>39143961400</v>
      </c>
      <c r="AC2461" s="663" t="s">
        <v>7393</v>
      </c>
      <c r="AD2461" s="663" t="s">
        <v>4950</v>
      </c>
      <c r="AE2461" s="663" t="s">
        <v>4942</v>
      </c>
      <c r="AF2461" s="663" t="s">
        <v>4983</v>
      </c>
    </row>
    <row r="2462" spans="1:32" s="608" customFormat="1" x14ac:dyDescent="0.25">
      <c r="A2462" s="624"/>
      <c r="B2462" s="617">
        <v>39117965401</v>
      </c>
      <c r="C2462" s="617" t="s">
        <v>4130</v>
      </c>
      <c r="D2462" s="617" t="s">
        <v>82</v>
      </c>
      <c r="E2462" s="617" t="s">
        <v>4854</v>
      </c>
      <c r="F2462" s="617" t="s">
        <v>26</v>
      </c>
      <c r="G2462" s="624"/>
      <c r="O2462" s="616"/>
      <c r="P2462" s="616"/>
      <c r="Q2462" s="616"/>
      <c r="AA2462" s="624"/>
      <c r="AB2462" s="663">
        <v>39143961500</v>
      </c>
      <c r="AC2462" s="663" t="s">
        <v>7394</v>
      </c>
      <c r="AD2462" s="663" t="s">
        <v>4950</v>
      </c>
      <c r="AE2462" s="663" t="s">
        <v>4934</v>
      </c>
      <c r="AF2462" s="663" t="s">
        <v>4983</v>
      </c>
    </row>
    <row r="2463" spans="1:32" s="608" customFormat="1" x14ac:dyDescent="0.25">
      <c r="A2463" s="624"/>
      <c r="B2463" s="617">
        <v>39117965402</v>
      </c>
      <c r="C2463" s="617" t="s">
        <v>4131</v>
      </c>
      <c r="D2463" s="617" t="s">
        <v>82</v>
      </c>
      <c r="E2463" s="617" t="s">
        <v>4854</v>
      </c>
      <c r="F2463" s="617" t="s">
        <v>26</v>
      </c>
      <c r="G2463" s="624"/>
      <c r="O2463" s="616"/>
      <c r="P2463" s="616"/>
      <c r="Q2463" s="616"/>
      <c r="AA2463" s="624"/>
      <c r="AB2463" s="663">
        <v>39143961600</v>
      </c>
      <c r="AC2463" s="663" t="s">
        <v>7395</v>
      </c>
      <c r="AD2463" s="663" t="s">
        <v>4950</v>
      </c>
      <c r="AE2463" s="663" t="s">
        <v>4931</v>
      </c>
      <c r="AF2463" s="663" t="s">
        <v>4929</v>
      </c>
    </row>
    <row r="2464" spans="1:32" s="608" customFormat="1" x14ac:dyDescent="0.25">
      <c r="A2464" s="624"/>
      <c r="B2464" s="617">
        <v>39117965501</v>
      </c>
      <c r="C2464" s="617" t="s">
        <v>4132</v>
      </c>
      <c r="D2464" s="617" t="s">
        <v>82</v>
      </c>
      <c r="E2464" s="617" t="s">
        <v>4854</v>
      </c>
      <c r="F2464" s="617" t="s">
        <v>26</v>
      </c>
      <c r="G2464" s="624"/>
      <c r="O2464" s="616"/>
      <c r="P2464" s="616"/>
      <c r="Q2464" s="616"/>
      <c r="AA2464" s="624"/>
      <c r="AB2464" s="663">
        <v>39143961700</v>
      </c>
      <c r="AC2464" s="663" t="s">
        <v>7396</v>
      </c>
      <c r="AD2464" s="663" t="s">
        <v>4938</v>
      </c>
      <c r="AE2464" s="663" t="s">
        <v>4942</v>
      </c>
      <c r="AF2464" s="663" t="s">
        <v>4929</v>
      </c>
    </row>
    <row r="2465" spans="1:32" s="608" customFormat="1" x14ac:dyDescent="0.25">
      <c r="A2465" s="624"/>
      <c r="B2465" s="617">
        <v>39117965502</v>
      </c>
      <c r="C2465" s="617" t="s">
        <v>4133</v>
      </c>
      <c r="D2465" s="617" t="s">
        <v>82</v>
      </c>
      <c r="E2465" s="617" t="s">
        <v>4854</v>
      </c>
      <c r="F2465" s="617" t="s">
        <v>26</v>
      </c>
      <c r="G2465" s="624"/>
      <c r="O2465" s="616"/>
      <c r="P2465" s="616"/>
      <c r="Q2465" s="616"/>
      <c r="AA2465" s="624"/>
      <c r="AB2465" s="663">
        <v>39143961800</v>
      </c>
      <c r="AC2465" s="663" t="s">
        <v>7397</v>
      </c>
      <c r="AD2465" s="663" t="s">
        <v>4948</v>
      </c>
      <c r="AE2465" s="663" t="s">
        <v>4934</v>
      </c>
      <c r="AF2465" s="663" t="s">
        <v>4929</v>
      </c>
    </row>
    <row r="2466" spans="1:32" s="608" customFormat="1" x14ac:dyDescent="0.25">
      <c r="A2466" s="624"/>
      <c r="B2466" s="617">
        <v>39119911000</v>
      </c>
      <c r="C2466" s="617" t="s">
        <v>4134</v>
      </c>
      <c r="D2466" s="617" t="s">
        <v>83</v>
      </c>
      <c r="E2466" s="617" t="s">
        <v>1672</v>
      </c>
      <c r="F2466" s="617" t="s">
        <v>26</v>
      </c>
      <c r="G2466" s="624"/>
      <c r="O2466" s="616"/>
      <c r="P2466" s="616"/>
      <c r="Q2466" s="616"/>
      <c r="AA2466" s="624"/>
      <c r="AB2466" s="663">
        <v>39143961900</v>
      </c>
      <c r="AC2466" s="663" t="s">
        <v>7398</v>
      </c>
      <c r="AD2466" s="663" t="s">
        <v>4948</v>
      </c>
      <c r="AE2466" s="663" t="s">
        <v>4939</v>
      </c>
      <c r="AF2466" s="663" t="s">
        <v>4929</v>
      </c>
    </row>
    <row r="2467" spans="1:32" s="608" customFormat="1" x14ac:dyDescent="0.25">
      <c r="A2467" s="624"/>
      <c r="B2467" s="617">
        <v>39119911100</v>
      </c>
      <c r="C2467" s="617" t="s">
        <v>4135</v>
      </c>
      <c r="D2467" s="617" t="s">
        <v>83</v>
      </c>
      <c r="E2467" s="617" t="s">
        <v>1672</v>
      </c>
      <c r="F2467" s="617" t="s">
        <v>26</v>
      </c>
      <c r="G2467" s="624"/>
      <c r="O2467" s="616"/>
      <c r="P2467" s="616"/>
      <c r="Q2467" s="616"/>
      <c r="AA2467" s="624"/>
      <c r="AB2467" s="663">
        <v>39143962000</v>
      </c>
      <c r="AC2467" s="663" t="s">
        <v>7399</v>
      </c>
      <c r="AD2467" s="663" t="s">
        <v>4948</v>
      </c>
      <c r="AE2467" s="663" t="s">
        <v>4934</v>
      </c>
      <c r="AF2467" s="663" t="s">
        <v>4929</v>
      </c>
    </row>
    <row r="2468" spans="1:32" s="608" customFormat="1" x14ac:dyDescent="0.25">
      <c r="A2468" s="624"/>
      <c r="B2468" s="617">
        <v>39119911201</v>
      </c>
      <c r="C2468" s="617" t="s">
        <v>4136</v>
      </c>
      <c r="D2468" s="617" t="s">
        <v>83</v>
      </c>
      <c r="E2468" s="617" t="s">
        <v>1672</v>
      </c>
      <c r="F2468" s="617" t="s">
        <v>26</v>
      </c>
      <c r="G2468" s="624"/>
      <c r="O2468" s="616"/>
      <c r="P2468" s="616"/>
      <c r="Q2468" s="616"/>
      <c r="AA2468" s="624"/>
      <c r="AB2468" s="663">
        <v>39143962100</v>
      </c>
      <c r="AC2468" s="663" t="s">
        <v>7400</v>
      </c>
      <c r="AD2468" s="663" t="s">
        <v>4938</v>
      </c>
      <c r="AE2468" s="663" t="s">
        <v>4931</v>
      </c>
      <c r="AF2468" s="663" t="s">
        <v>4929</v>
      </c>
    </row>
    <row r="2469" spans="1:32" s="608" customFormat="1" x14ac:dyDescent="0.25">
      <c r="A2469" s="624"/>
      <c r="B2469" s="617">
        <v>39119911202</v>
      </c>
      <c r="C2469" s="617" t="s">
        <v>4137</v>
      </c>
      <c r="D2469" s="617" t="s">
        <v>83</v>
      </c>
      <c r="E2469" s="617" t="s">
        <v>1672</v>
      </c>
      <c r="F2469" s="617" t="s">
        <v>26</v>
      </c>
      <c r="G2469" s="624"/>
      <c r="O2469" s="616"/>
      <c r="P2469" s="616"/>
      <c r="Q2469" s="616"/>
      <c r="AA2469" s="624"/>
      <c r="AB2469" s="663">
        <v>39143962200</v>
      </c>
      <c r="AC2469" s="663" t="s">
        <v>7401</v>
      </c>
      <c r="AD2469" s="663" t="s">
        <v>4941</v>
      </c>
      <c r="AE2469" s="663" t="s">
        <v>4931</v>
      </c>
      <c r="AF2469" s="663" t="s">
        <v>4983</v>
      </c>
    </row>
    <row r="2470" spans="1:32" s="608" customFormat="1" x14ac:dyDescent="0.25">
      <c r="A2470" s="624"/>
      <c r="B2470" s="617">
        <v>39119911300</v>
      </c>
      <c r="C2470" s="617" t="s">
        <v>4138</v>
      </c>
      <c r="D2470" s="617" t="s">
        <v>83</v>
      </c>
      <c r="E2470" s="617" t="s">
        <v>1672</v>
      </c>
      <c r="F2470" s="617" t="s">
        <v>26</v>
      </c>
      <c r="G2470" s="624"/>
      <c r="O2470" s="616"/>
      <c r="P2470" s="616"/>
      <c r="Q2470" s="616"/>
      <c r="AA2470" s="624"/>
      <c r="AB2470" s="663">
        <v>39145002100</v>
      </c>
      <c r="AC2470" s="663" t="s">
        <v>7402</v>
      </c>
      <c r="AD2470" s="663" t="s">
        <v>4950</v>
      </c>
      <c r="AE2470" s="663" t="s">
        <v>4939</v>
      </c>
      <c r="AF2470" s="663" t="s">
        <v>4929</v>
      </c>
    </row>
    <row r="2471" spans="1:32" s="608" customFormat="1" x14ac:dyDescent="0.25">
      <c r="A2471" s="624"/>
      <c r="B2471" s="617">
        <v>39119911400</v>
      </c>
      <c r="C2471" s="617" t="s">
        <v>4139</v>
      </c>
      <c r="D2471" s="617" t="s">
        <v>83</v>
      </c>
      <c r="E2471" s="617" t="s">
        <v>1672</v>
      </c>
      <c r="F2471" s="617" t="s">
        <v>24</v>
      </c>
      <c r="G2471" s="624"/>
      <c r="O2471" s="616"/>
      <c r="P2471" s="616"/>
      <c r="Q2471" s="616"/>
      <c r="AA2471" s="624"/>
      <c r="AB2471" s="663">
        <v>39145002200</v>
      </c>
      <c r="AC2471" s="663" t="s">
        <v>7403</v>
      </c>
      <c r="AD2471" s="663" t="s">
        <v>4950</v>
      </c>
      <c r="AE2471" s="663" t="s">
        <v>4931</v>
      </c>
      <c r="AF2471" s="663" t="s">
        <v>4929</v>
      </c>
    </row>
    <row r="2472" spans="1:32" s="608" customFormat="1" x14ac:dyDescent="0.25">
      <c r="A2472" s="624"/>
      <c r="B2472" s="617">
        <v>39119911500</v>
      </c>
      <c r="C2472" s="617" t="s">
        <v>4140</v>
      </c>
      <c r="D2472" s="617" t="s">
        <v>83</v>
      </c>
      <c r="E2472" s="617" t="s">
        <v>1672</v>
      </c>
      <c r="F2472" s="617" t="s">
        <v>26</v>
      </c>
      <c r="G2472" s="624"/>
      <c r="O2472" s="616"/>
      <c r="P2472" s="616"/>
      <c r="Q2472" s="616"/>
      <c r="AA2472" s="624"/>
      <c r="AB2472" s="663">
        <v>39145002300</v>
      </c>
      <c r="AC2472" s="663" t="s">
        <v>7404</v>
      </c>
      <c r="AD2472" s="663" t="s">
        <v>4927</v>
      </c>
      <c r="AE2472" s="663" t="s">
        <v>4931</v>
      </c>
      <c r="AF2472" s="663" t="s">
        <v>4929</v>
      </c>
    </row>
    <row r="2473" spans="1:32" s="608" customFormat="1" x14ac:dyDescent="0.25">
      <c r="A2473" s="624"/>
      <c r="B2473" s="617">
        <v>39119911601</v>
      </c>
      <c r="C2473" s="617" t="s">
        <v>4141</v>
      </c>
      <c r="D2473" s="617" t="s">
        <v>83</v>
      </c>
      <c r="E2473" s="617" t="s">
        <v>1672</v>
      </c>
      <c r="F2473" s="617" t="s">
        <v>26</v>
      </c>
      <c r="G2473" s="624"/>
      <c r="O2473" s="616"/>
      <c r="P2473" s="616"/>
      <c r="Q2473" s="616"/>
      <c r="AA2473" s="624"/>
      <c r="AB2473" s="663">
        <v>39145002400</v>
      </c>
      <c r="AC2473" s="663" t="s">
        <v>7405</v>
      </c>
      <c r="AD2473" s="663" t="s">
        <v>4927</v>
      </c>
      <c r="AE2473" s="663" t="s">
        <v>4928</v>
      </c>
      <c r="AF2473" s="663" t="s">
        <v>4929</v>
      </c>
    </row>
    <row r="2474" spans="1:32" s="608" customFormat="1" x14ac:dyDescent="0.25">
      <c r="A2474" s="624"/>
      <c r="B2474" s="617">
        <v>39119911602</v>
      </c>
      <c r="C2474" s="617" t="s">
        <v>4142</v>
      </c>
      <c r="D2474" s="617" t="s">
        <v>83</v>
      </c>
      <c r="E2474" s="617" t="s">
        <v>1672</v>
      </c>
      <c r="F2474" s="617" t="s">
        <v>26</v>
      </c>
      <c r="G2474" s="624"/>
      <c r="O2474" s="616"/>
      <c r="P2474" s="616"/>
      <c r="Q2474" s="616"/>
      <c r="AA2474" s="624"/>
      <c r="AB2474" s="663">
        <v>39145002500</v>
      </c>
      <c r="AC2474" s="663" t="s">
        <v>7406</v>
      </c>
      <c r="AD2474" s="663" t="s">
        <v>4927</v>
      </c>
      <c r="AE2474" s="663" t="s">
        <v>4931</v>
      </c>
      <c r="AF2474" s="663" t="s">
        <v>4929</v>
      </c>
    </row>
    <row r="2475" spans="1:32" s="608" customFormat="1" x14ac:dyDescent="0.25">
      <c r="A2475" s="624"/>
      <c r="B2475" s="617">
        <v>39119911700</v>
      </c>
      <c r="C2475" s="617" t="s">
        <v>4143</v>
      </c>
      <c r="D2475" s="617" t="s">
        <v>83</v>
      </c>
      <c r="E2475" s="617" t="s">
        <v>1672</v>
      </c>
      <c r="F2475" s="617" t="s">
        <v>26</v>
      </c>
      <c r="G2475" s="624"/>
      <c r="O2475" s="616"/>
      <c r="P2475" s="616"/>
      <c r="Q2475" s="616"/>
      <c r="AA2475" s="624"/>
      <c r="AB2475" s="663">
        <v>39145002600</v>
      </c>
      <c r="AC2475" s="663" t="s">
        <v>7407</v>
      </c>
      <c r="AD2475" s="663" t="s">
        <v>4950</v>
      </c>
      <c r="AE2475" s="663" t="s">
        <v>4942</v>
      </c>
      <c r="AF2475" s="663" t="s">
        <v>4929</v>
      </c>
    </row>
    <row r="2476" spans="1:32" s="608" customFormat="1" x14ac:dyDescent="0.25">
      <c r="A2476" s="624"/>
      <c r="B2476" s="617">
        <v>39119911800</v>
      </c>
      <c r="C2476" s="617" t="s">
        <v>4144</v>
      </c>
      <c r="D2476" s="617" t="s">
        <v>83</v>
      </c>
      <c r="E2476" s="617" t="s">
        <v>1672</v>
      </c>
      <c r="F2476" s="617" t="s">
        <v>24</v>
      </c>
      <c r="G2476" s="624"/>
      <c r="O2476" s="616"/>
      <c r="P2476" s="616"/>
      <c r="Q2476" s="616"/>
      <c r="AA2476" s="624"/>
      <c r="AB2476" s="663">
        <v>39145002700</v>
      </c>
      <c r="AC2476" s="663" t="s">
        <v>7408</v>
      </c>
      <c r="AD2476" s="663" t="s">
        <v>4948</v>
      </c>
      <c r="AE2476" s="663" t="s">
        <v>4931</v>
      </c>
      <c r="AF2476" s="663" t="s">
        <v>4929</v>
      </c>
    </row>
    <row r="2477" spans="1:32" s="608" customFormat="1" x14ac:dyDescent="0.25">
      <c r="A2477" s="624"/>
      <c r="B2477" s="617">
        <v>39119911900</v>
      </c>
      <c r="C2477" s="617" t="s">
        <v>4145</v>
      </c>
      <c r="D2477" s="617" t="s">
        <v>83</v>
      </c>
      <c r="E2477" s="617" t="s">
        <v>1672</v>
      </c>
      <c r="F2477" s="617" t="s">
        <v>24</v>
      </c>
      <c r="G2477" s="624"/>
      <c r="O2477" s="616"/>
      <c r="P2477" s="616"/>
      <c r="Q2477" s="616"/>
      <c r="AA2477" s="624"/>
      <c r="AB2477" s="663">
        <v>39145002800</v>
      </c>
      <c r="AC2477" s="663" t="s">
        <v>7409</v>
      </c>
      <c r="AD2477" s="663" t="s">
        <v>4950</v>
      </c>
      <c r="AE2477" s="663" t="s">
        <v>4939</v>
      </c>
      <c r="AF2477" s="663" t="s">
        <v>4929</v>
      </c>
    </row>
    <row r="2478" spans="1:32" s="608" customFormat="1" x14ac:dyDescent="0.25">
      <c r="A2478" s="624"/>
      <c r="B2478" s="617">
        <v>39119912000</v>
      </c>
      <c r="C2478" s="617" t="s">
        <v>4146</v>
      </c>
      <c r="D2478" s="617" t="s">
        <v>83</v>
      </c>
      <c r="E2478" s="617" t="s">
        <v>1672</v>
      </c>
      <c r="F2478" s="617" t="s">
        <v>26</v>
      </c>
      <c r="G2478" s="624"/>
      <c r="O2478" s="616"/>
      <c r="P2478" s="616"/>
      <c r="Q2478" s="616"/>
      <c r="AA2478" s="624"/>
      <c r="AB2478" s="663">
        <v>39145002900</v>
      </c>
      <c r="AC2478" s="663" t="s">
        <v>7410</v>
      </c>
      <c r="AD2478" s="663" t="s">
        <v>4941</v>
      </c>
      <c r="AE2478" s="663" t="s">
        <v>4934</v>
      </c>
      <c r="AF2478" s="663" t="s">
        <v>4929</v>
      </c>
    </row>
    <row r="2479" spans="1:32" s="608" customFormat="1" x14ac:dyDescent="0.25">
      <c r="A2479" s="624"/>
      <c r="B2479" s="617">
        <v>39119912100</v>
      </c>
      <c r="C2479" s="617" t="s">
        <v>4147</v>
      </c>
      <c r="D2479" s="617" t="s">
        <v>83</v>
      </c>
      <c r="E2479" s="617" t="s">
        <v>1672</v>
      </c>
      <c r="F2479" s="617" t="s">
        <v>24</v>
      </c>
      <c r="G2479" s="624"/>
      <c r="O2479" s="616"/>
      <c r="P2479" s="616"/>
      <c r="Q2479" s="616"/>
      <c r="AA2479" s="624"/>
      <c r="AB2479" s="663">
        <v>39145003000</v>
      </c>
      <c r="AC2479" s="663" t="s">
        <v>7411</v>
      </c>
      <c r="AD2479" s="663" t="s">
        <v>4927</v>
      </c>
      <c r="AE2479" s="663" t="s">
        <v>4931</v>
      </c>
      <c r="AF2479" s="663" t="s">
        <v>4929</v>
      </c>
    </row>
    <row r="2480" spans="1:32" s="608" customFormat="1" x14ac:dyDescent="0.25">
      <c r="A2480" s="624"/>
      <c r="B2480" s="617">
        <v>39119912200</v>
      </c>
      <c r="C2480" s="617" t="s">
        <v>4148</v>
      </c>
      <c r="D2480" s="617" t="s">
        <v>83</v>
      </c>
      <c r="E2480" s="617" t="s">
        <v>1672</v>
      </c>
      <c r="F2480" s="617" t="s">
        <v>26</v>
      </c>
      <c r="G2480" s="624"/>
      <c r="O2480" s="616"/>
      <c r="P2480" s="616"/>
      <c r="Q2480" s="616"/>
      <c r="AA2480" s="624"/>
      <c r="AB2480" s="663">
        <v>39145003100</v>
      </c>
      <c r="AC2480" s="663" t="s">
        <v>7412</v>
      </c>
      <c r="AD2480" s="663" t="s">
        <v>4927</v>
      </c>
      <c r="AE2480" s="663" t="s">
        <v>4934</v>
      </c>
      <c r="AF2480" s="663" t="s">
        <v>4929</v>
      </c>
    </row>
    <row r="2481" spans="1:32" s="608" customFormat="1" x14ac:dyDescent="0.25">
      <c r="A2481" s="624"/>
      <c r="B2481" s="617">
        <v>39119912300</v>
      </c>
      <c r="C2481" s="617" t="s">
        <v>4149</v>
      </c>
      <c r="D2481" s="617" t="s">
        <v>83</v>
      </c>
      <c r="E2481" s="617" t="s">
        <v>1672</v>
      </c>
      <c r="F2481" s="617" t="s">
        <v>26</v>
      </c>
      <c r="G2481" s="624"/>
      <c r="O2481" s="616"/>
      <c r="P2481" s="616"/>
      <c r="Q2481" s="616"/>
      <c r="AA2481" s="624"/>
      <c r="AB2481" s="663">
        <v>39145003200</v>
      </c>
      <c r="AC2481" s="663" t="s">
        <v>7413</v>
      </c>
      <c r="AD2481" s="663" t="s">
        <v>4927</v>
      </c>
      <c r="AE2481" s="663" t="s">
        <v>4934</v>
      </c>
      <c r="AF2481" s="663" t="s">
        <v>4929</v>
      </c>
    </row>
    <row r="2482" spans="1:32" s="608" customFormat="1" x14ac:dyDescent="0.25">
      <c r="A2482" s="624"/>
      <c r="B2482" s="617">
        <v>39119912400</v>
      </c>
      <c r="C2482" s="617" t="s">
        <v>4150</v>
      </c>
      <c r="D2482" s="617" t="s">
        <v>83</v>
      </c>
      <c r="E2482" s="617" t="s">
        <v>1672</v>
      </c>
      <c r="F2482" s="617" t="s">
        <v>26</v>
      </c>
      <c r="G2482" s="624"/>
      <c r="O2482" s="616"/>
      <c r="P2482" s="616"/>
      <c r="Q2482" s="616"/>
      <c r="AA2482" s="624"/>
      <c r="AB2482" s="663">
        <v>39145003300</v>
      </c>
      <c r="AC2482" s="663" t="s">
        <v>7414</v>
      </c>
      <c r="AD2482" s="663" t="s">
        <v>4938</v>
      </c>
      <c r="AE2482" s="663" t="s">
        <v>4928</v>
      </c>
      <c r="AF2482" s="663" t="s">
        <v>4983</v>
      </c>
    </row>
    <row r="2483" spans="1:32" s="608" customFormat="1" x14ac:dyDescent="0.25">
      <c r="A2483" s="624"/>
      <c r="B2483" s="617">
        <v>39119912500</v>
      </c>
      <c r="C2483" s="617" t="s">
        <v>4151</v>
      </c>
      <c r="D2483" s="617" t="s">
        <v>83</v>
      </c>
      <c r="E2483" s="617" t="s">
        <v>1672</v>
      </c>
      <c r="F2483" s="617" t="s">
        <v>26</v>
      </c>
      <c r="G2483" s="624"/>
      <c r="O2483" s="616"/>
      <c r="P2483" s="616"/>
      <c r="Q2483" s="616"/>
      <c r="AA2483" s="624"/>
      <c r="AB2483" s="663">
        <v>39145003400</v>
      </c>
      <c r="AC2483" s="663" t="s">
        <v>7415</v>
      </c>
      <c r="AD2483" s="663" t="s">
        <v>4927</v>
      </c>
      <c r="AE2483" s="663" t="s">
        <v>4934</v>
      </c>
      <c r="AF2483" s="663" t="s">
        <v>4983</v>
      </c>
    </row>
    <row r="2484" spans="1:32" s="608" customFormat="1" x14ac:dyDescent="0.25">
      <c r="A2484" s="624"/>
      <c r="B2484" s="617">
        <v>39119912600</v>
      </c>
      <c r="C2484" s="617" t="s">
        <v>4152</v>
      </c>
      <c r="D2484" s="617" t="s">
        <v>83</v>
      </c>
      <c r="E2484" s="617" t="s">
        <v>1672</v>
      </c>
      <c r="F2484" s="617" t="s">
        <v>26</v>
      </c>
      <c r="G2484" s="624"/>
      <c r="O2484" s="616"/>
      <c r="P2484" s="616"/>
      <c r="Q2484" s="616"/>
      <c r="AA2484" s="624"/>
      <c r="AB2484" s="663">
        <v>39145003500</v>
      </c>
      <c r="AC2484" s="663" t="s">
        <v>7416</v>
      </c>
      <c r="AD2484" s="663" t="s">
        <v>4927</v>
      </c>
      <c r="AE2484" s="663" t="s">
        <v>4942</v>
      </c>
      <c r="AF2484" s="663" t="s">
        <v>4983</v>
      </c>
    </row>
    <row r="2485" spans="1:32" s="608" customFormat="1" x14ac:dyDescent="0.25">
      <c r="A2485" s="624"/>
      <c r="B2485" s="617">
        <v>39119912700</v>
      </c>
      <c r="C2485" s="617" t="s">
        <v>4153</v>
      </c>
      <c r="D2485" s="617" t="s">
        <v>83</v>
      </c>
      <c r="E2485" s="617" t="s">
        <v>1672</v>
      </c>
      <c r="F2485" s="617" t="s">
        <v>26</v>
      </c>
      <c r="G2485" s="624"/>
      <c r="O2485" s="616"/>
      <c r="P2485" s="616"/>
      <c r="Q2485" s="616"/>
      <c r="AA2485" s="624"/>
      <c r="AB2485" s="663">
        <v>39145003600</v>
      </c>
      <c r="AC2485" s="663" t="s">
        <v>7417</v>
      </c>
      <c r="AD2485" s="663" t="s">
        <v>4927</v>
      </c>
      <c r="AE2485" s="663" t="s">
        <v>4939</v>
      </c>
      <c r="AF2485" s="663" t="s">
        <v>4983</v>
      </c>
    </row>
    <row r="2486" spans="1:32" s="608" customFormat="1" x14ac:dyDescent="0.25">
      <c r="A2486" s="624"/>
      <c r="B2486" s="617">
        <v>39119912800</v>
      </c>
      <c r="C2486" s="617" t="s">
        <v>4154</v>
      </c>
      <c r="D2486" s="617" t="s">
        <v>83</v>
      </c>
      <c r="E2486" s="617" t="s">
        <v>1672</v>
      </c>
      <c r="F2486" s="617" t="s">
        <v>26</v>
      </c>
      <c r="G2486" s="624"/>
      <c r="O2486" s="616"/>
      <c r="P2486" s="616"/>
      <c r="Q2486" s="616"/>
      <c r="AA2486" s="624"/>
      <c r="AB2486" s="663">
        <v>39145003700</v>
      </c>
      <c r="AC2486" s="663" t="s">
        <v>7418</v>
      </c>
      <c r="AD2486" s="663" t="s">
        <v>4927</v>
      </c>
      <c r="AE2486" s="663" t="s">
        <v>4928</v>
      </c>
      <c r="AF2486" s="663" t="s">
        <v>4983</v>
      </c>
    </row>
    <row r="2487" spans="1:32" s="608" customFormat="1" x14ac:dyDescent="0.25">
      <c r="A2487" s="624"/>
      <c r="B2487" s="617">
        <v>39121968300</v>
      </c>
      <c r="C2487" s="617" t="s">
        <v>4155</v>
      </c>
      <c r="D2487" s="617" t="s">
        <v>84</v>
      </c>
      <c r="E2487" s="617" t="s">
        <v>1672</v>
      </c>
      <c r="F2487" s="617" t="s">
        <v>26</v>
      </c>
      <c r="G2487" s="624"/>
      <c r="O2487" s="616"/>
      <c r="P2487" s="616"/>
      <c r="Q2487" s="616"/>
      <c r="AA2487" s="624"/>
      <c r="AB2487" s="663">
        <v>39145003800</v>
      </c>
      <c r="AC2487" s="663" t="s">
        <v>7419</v>
      </c>
      <c r="AD2487" s="663" t="s">
        <v>4950</v>
      </c>
      <c r="AE2487" s="663" t="s">
        <v>4934</v>
      </c>
      <c r="AF2487" s="663" t="s">
        <v>4929</v>
      </c>
    </row>
    <row r="2488" spans="1:32" s="608" customFormat="1" x14ac:dyDescent="0.25">
      <c r="A2488" s="624"/>
      <c r="B2488" s="617">
        <v>39121968401</v>
      </c>
      <c r="C2488" s="617" t="s">
        <v>4156</v>
      </c>
      <c r="D2488" s="617" t="s">
        <v>84</v>
      </c>
      <c r="E2488" s="617" t="s">
        <v>1672</v>
      </c>
      <c r="F2488" s="617" t="s">
        <v>26</v>
      </c>
      <c r="G2488" s="624"/>
      <c r="O2488" s="616"/>
      <c r="P2488" s="616"/>
      <c r="Q2488" s="616"/>
      <c r="AA2488" s="624"/>
      <c r="AB2488" s="663">
        <v>39145003900</v>
      </c>
      <c r="AC2488" s="663" t="s">
        <v>7420</v>
      </c>
      <c r="AD2488" s="663" t="s">
        <v>4927</v>
      </c>
      <c r="AE2488" s="663" t="s">
        <v>4942</v>
      </c>
      <c r="AF2488" s="663" t="s">
        <v>4929</v>
      </c>
    </row>
    <row r="2489" spans="1:32" s="608" customFormat="1" x14ac:dyDescent="0.25">
      <c r="A2489" s="624"/>
      <c r="B2489" s="617">
        <v>39121968402</v>
      </c>
      <c r="C2489" s="617" t="s">
        <v>4157</v>
      </c>
      <c r="D2489" s="617" t="s">
        <v>84</v>
      </c>
      <c r="E2489" s="617" t="s">
        <v>1672</v>
      </c>
      <c r="F2489" s="617" t="s">
        <v>26</v>
      </c>
      <c r="G2489" s="624"/>
      <c r="O2489" s="616"/>
      <c r="P2489" s="616"/>
      <c r="Q2489" s="616"/>
      <c r="AA2489" s="624"/>
      <c r="AB2489" s="663">
        <v>39145004000</v>
      </c>
      <c r="AC2489" s="663" t="s">
        <v>7421</v>
      </c>
      <c r="AD2489" s="663" t="s">
        <v>4927</v>
      </c>
      <c r="AE2489" s="663" t="s">
        <v>4934</v>
      </c>
      <c r="AF2489" s="663" t="s">
        <v>4929</v>
      </c>
    </row>
    <row r="2490" spans="1:32" s="608" customFormat="1" x14ac:dyDescent="0.25">
      <c r="A2490" s="624"/>
      <c r="B2490" s="617">
        <v>39121968500</v>
      </c>
      <c r="C2490" s="617" t="s">
        <v>4158</v>
      </c>
      <c r="D2490" s="617" t="s">
        <v>84</v>
      </c>
      <c r="E2490" s="617" t="s">
        <v>1672</v>
      </c>
      <c r="F2490" s="617" t="s">
        <v>26</v>
      </c>
      <c r="G2490" s="624"/>
      <c r="O2490" s="616"/>
      <c r="P2490" s="616"/>
      <c r="Q2490" s="616"/>
      <c r="AA2490" s="624"/>
      <c r="AB2490" s="663">
        <v>39147962500</v>
      </c>
      <c r="AC2490" s="663" t="s">
        <v>7422</v>
      </c>
      <c r="AD2490" s="663" t="s">
        <v>4948</v>
      </c>
      <c r="AE2490" s="663" t="s">
        <v>4942</v>
      </c>
      <c r="AF2490" s="663" t="s">
        <v>4929</v>
      </c>
    </row>
    <row r="2491" spans="1:32" s="608" customFormat="1" x14ac:dyDescent="0.25">
      <c r="A2491" s="624"/>
      <c r="B2491" s="617">
        <v>39123050100</v>
      </c>
      <c r="C2491" s="617" t="s">
        <v>4159</v>
      </c>
      <c r="D2491" s="617" t="s">
        <v>85</v>
      </c>
      <c r="E2491" s="617" t="s">
        <v>4855</v>
      </c>
      <c r="F2491" s="617" t="s">
        <v>26</v>
      </c>
      <c r="G2491" s="624"/>
      <c r="O2491" s="616"/>
      <c r="P2491" s="616"/>
      <c r="Q2491" s="616"/>
      <c r="AA2491" s="624"/>
      <c r="AB2491" s="663">
        <v>39147962600</v>
      </c>
      <c r="AC2491" s="663" t="s">
        <v>7423</v>
      </c>
      <c r="AD2491" s="663" t="s">
        <v>4948</v>
      </c>
      <c r="AE2491" s="663" t="s">
        <v>4942</v>
      </c>
      <c r="AF2491" s="663" t="s">
        <v>4929</v>
      </c>
    </row>
    <row r="2492" spans="1:32" s="608" customFormat="1" x14ac:dyDescent="0.25">
      <c r="A2492" s="624"/>
      <c r="B2492" s="617">
        <v>39123050201</v>
      </c>
      <c r="C2492" s="617" t="s">
        <v>4160</v>
      </c>
      <c r="D2492" s="617" t="s">
        <v>85</v>
      </c>
      <c r="E2492" s="617" t="s">
        <v>4855</v>
      </c>
      <c r="F2492" s="617" t="s">
        <v>26</v>
      </c>
      <c r="G2492" s="624"/>
      <c r="O2492" s="616"/>
      <c r="P2492" s="616"/>
      <c r="Q2492" s="616"/>
      <c r="AA2492" s="624"/>
      <c r="AB2492" s="663">
        <v>39147962700</v>
      </c>
      <c r="AC2492" s="663" t="s">
        <v>7424</v>
      </c>
      <c r="AD2492" s="663" t="s">
        <v>4948</v>
      </c>
      <c r="AE2492" s="663" t="s">
        <v>4931</v>
      </c>
      <c r="AF2492" s="663" t="s">
        <v>4929</v>
      </c>
    </row>
    <row r="2493" spans="1:32" s="608" customFormat="1" x14ac:dyDescent="0.25">
      <c r="A2493" s="624"/>
      <c r="B2493" s="617">
        <v>39123050202</v>
      </c>
      <c r="C2493" s="617" t="s">
        <v>4161</v>
      </c>
      <c r="D2493" s="617" t="s">
        <v>85</v>
      </c>
      <c r="E2493" s="617" t="s">
        <v>4855</v>
      </c>
      <c r="F2493" s="617" t="s">
        <v>26</v>
      </c>
      <c r="G2493" s="624"/>
      <c r="O2493" s="616"/>
      <c r="P2493" s="616"/>
      <c r="Q2493" s="616"/>
      <c r="AA2493" s="624"/>
      <c r="AB2493" s="663">
        <v>39147962800</v>
      </c>
      <c r="AC2493" s="663" t="s">
        <v>7425</v>
      </c>
      <c r="AD2493" s="663" t="s">
        <v>4950</v>
      </c>
      <c r="AE2493" s="663" t="s">
        <v>4928</v>
      </c>
      <c r="AF2493" s="663" t="s">
        <v>4929</v>
      </c>
    </row>
    <row r="2494" spans="1:32" s="608" customFormat="1" x14ac:dyDescent="0.25">
      <c r="A2494" s="624"/>
      <c r="B2494" s="617">
        <v>39123050301</v>
      </c>
      <c r="C2494" s="617" t="s">
        <v>4162</v>
      </c>
      <c r="D2494" s="617" t="s">
        <v>85</v>
      </c>
      <c r="E2494" s="617" t="s">
        <v>4855</v>
      </c>
      <c r="F2494" s="617" t="s">
        <v>26</v>
      </c>
      <c r="G2494" s="624"/>
      <c r="O2494" s="616"/>
      <c r="P2494" s="616"/>
      <c r="Q2494" s="616"/>
      <c r="AA2494" s="624"/>
      <c r="AB2494" s="663">
        <v>39147962900</v>
      </c>
      <c r="AC2494" s="663" t="s">
        <v>7426</v>
      </c>
      <c r="AD2494" s="663" t="s">
        <v>4950</v>
      </c>
      <c r="AE2494" s="663" t="s">
        <v>4939</v>
      </c>
      <c r="AF2494" s="663" t="s">
        <v>4983</v>
      </c>
    </row>
    <row r="2495" spans="1:32" s="608" customFormat="1" x14ac:dyDescent="0.25">
      <c r="A2495" s="624"/>
      <c r="B2495" s="617">
        <v>39123050302</v>
      </c>
      <c r="C2495" s="617" t="s">
        <v>4163</v>
      </c>
      <c r="D2495" s="617" t="s">
        <v>85</v>
      </c>
      <c r="E2495" s="617" t="s">
        <v>4855</v>
      </c>
      <c r="F2495" s="617" t="s">
        <v>26</v>
      </c>
      <c r="G2495" s="624"/>
      <c r="O2495" s="616"/>
      <c r="P2495" s="616"/>
      <c r="Q2495" s="616"/>
      <c r="AA2495" s="624"/>
      <c r="AB2495" s="663">
        <v>39147963000</v>
      </c>
      <c r="AC2495" s="663" t="s">
        <v>7427</v>
      </c>
      <c r="AD2495" s="663" t="s">
        <v>4927</v>
      </c>
      <c r="AE2495" s="663" t="s">
        <v>4931</v>
      </c>
      <c r="AF2495" s="663" t="s">
        <v>4929</v>
      </c>
    </row>
    <row r="2496" spans="1:32" s="608" customFormat="1" x14ac:dyDescent="0.25">
      <c r="A2496" s="624"/>
      <c r="B2496" s="617">
        <v>39123050500</v>
      </c>
      <c r="C2496" s="617" t="s">
        <v>4164</v>
      </c>
      <c r="D2496" s="617" t="s">
        <v>85</v>
      </c>
      <c r="E2496" s="617" t="s">
        <v>4855</v>
      </c>
      <c r="F2496" s="617" t="s">
        <v>26</v>
      </c>
      <c r="G2496" s="624"/>
      <c r="O2496" s="616"/>
      <c r="P2496" s="616"/>
      <c r="Q2496" s="616"/>
      <c r="AA2496" s="624"/>
      <c r="AB2496" s="663">
        <v>39147963100</v>
      </c>
      <c r="AC2496" s="663" t="s">
        <v>7428</v>
      </c>
      <c r="AD2496" s="663" t="s">
        <v>4941</v>
      </c>
      <c r="AE2496" s="663" t="s">
        <v>4934</v>
      </c>
      <c r="AF2496" s="663" t="s">
        <v>4929</v>
      </c>
    </row>
    <row r="2497" spans="1:32" s="608" customFormat="1" x14ac:dyDescent="0.25">
      <c r="A2497" s="624"/>
      <c r="B2497" s="617">
        <v>39123050600</v>
      </c>
      <c r="C2497" s="617" t="s">
        <v>4165</v>
      </c>
      <c r="D2497" s="617" t="s">
        <v>85</v>
      </c>
      <c r="E2497" s="617" t="s">
        <v>4855</v>
      </c>
      <c r="F2497" s="617" t="s">
        <v>26</v>
      </c>
      <c r="G2497" s="624"/>
      <c r="O2497" s="616"/>
      <c r="P2497" s="616"/>
      <c r="Q2497" s="616"/>
      <c r="AA2497" s="624"/>
      <c r="AB2497" s="663">
        <v>39147963200</v>
      </c>
      <c r="AC2497" s="663" t="s">
        <v>7429</v>
      </c>
      <c r="AD2497" s="663" t="s">
        <v>4941</v>
      </c>
      <c r="AE2497" s="663" t="s">
        <v>4942</v>
      </c>
      <c r="AF2497" s="663" t="s">
        <v>4929</v>
      </c>
    </row>
    <row r="2498" spans="1:32" s="608" customFormat="1" x14ac:dyDescent="0.25">
      <c r="A2498" s="624"/>
      <c r="B2498" s="617">
        <v>39123050700</v>
      </c>
      <c r="C2498" s="617" t="s">
        <v>4166</v>
      </c>
      <c r="D2498" s="617" t="s">
        <v>85</v>
      </c>
      <c r="E2498" s="617" t="s">
        <v>4855</v>
      </c>
      <c r="F2498" s="617" t="s">
        <v>26</v>
      </c>
      <c r="G2498" s="624"/>
      <c r="O2498" s="616"/>
      <c r="P2498" s="616"/>
      <c r="Q2498" s="616"/>
      <c r="AA2498" s="624"/>
      <c r="AB2498" s="663">
        <v>39147963300</v>
      </c>
      <c r="AC2498" s="663" t="s">
        <v>7430</v>
      </c>
      <c r="AD2498" s="663" t="s">
        <v>4941</v>
      </c>
      <c r="AE2498" s="663" t="s">
        <v>4942</v>
      </c>
      <c r="AF2498" s="663" t="s">
        <v>4929</v>
      </c>
    </row>
    <row r="2499" spans="1:32" s="608" customFormat="1" x14ac:dyDescent="0.25">
      <c r="A2499" s="624"/>
      <c r="B2499" s="617">
        <v>39123050800</v>
      </c>
      <c r="C2499" s="617" t="s">
        <v>4167</v>
      </c>
      <c r="D2499" s="617" t="s">
        <v>85</v>
      </c>
      <c r="E2499" s="617" t="s">
        <v>4855</v>
      </c>
      <c r="F2499" s="617" t="s">
        <v>26</v>
      </c>
      <c r="G2499" s="624"/>
      <c r="O2499" s="616"/>
      <c r="P2499" s="616"/>
      <c r="Q2499" s="616"/>
      <c r="AA2499" s="624"/>
      <c r="AB2499" s="663">
        <v>39147963400</v>
      </c>
      <c r="AC2499" s="663" t="s">
        <v>7431</v>
      </c>
      <c r="AD2499" s="663" t="s">
        <v>4948</v>
      </c>
      <c r="AE2499" s="663" t="s">
        <v>4939</v>
      </c>
      <c r="AF2499" s="663" t="s">
        <v>4929</v>
      </c>
    </row>
    <row r="2500" spans="1:32" s="608" customFormat="1" x14ac:dyDescent="0.25">
      <c r="A2500" s="624"/>
      <c r="B2500" s="617">
        <v>39123050900</v>
      </c>
      <c r="C2500" s="617" t="s">
        <v>4168</v>
      </c>
      <c r="D2500" s="617" t="s">
        <v>85</v>
      </c>
      <c r="E2500" s="617" t="s">
        <v>4855</v>
      </c>
      <c r="F2500" s="617" t="s">
        <v>26</v>
      </c>
      <c r="G2500" s="624"/>
      <c r="O2500" s="616"/>
      <c r="P2500" s="616"/>
      <c r="Q2500" s="616"/>
      <c r="AA2500" s="624"/>
      <c r="AB2500" s="663">
        <v>39147963500</v>
      </c>
      <c r="AC2500" s="663" t="s">
        <v>7432</v>
      </c>
      <c r="AD2500" s="663" t="s">
        <v>4948</v>
      </c>
      <c r="AE2500" s="663" t="s">
        <v>4928</v>
      </c>
      <c r="AF2500" s="663" t="s">
        <v>4983</v>
      </c>
    </row>
    <row r="2501" spans="1:32" s="608" customFormat="1" x14ac:dyDescent="0.25">
      <c r="A2501" s="624"/>
      <c r="B2501" s="617">
        <v>39123051000</v>
      </c>
      <c r="C2501" s="617" t="s">
        <v>4169</v>
      </c>
      <c r="D2501" s="617" t="s">
        <v>85</v>
      </c>
      <c r="E2501" s="617" t="s">
        <v>4855</v>
      </c>
      <c r="F2501" s="617" t="s">
        <v>26</v>
      </c>
      <c r="G2501" s="624"/>
      <c r="O2501" s="616"/>
      <c r="P2501" s="616"/>
      <c r="Q2501" s="616"/>
      <c r="AA2501" s="624"/>
      <c r="AB2501" s="663">
        <v>39147963600</v>
      </c>
      <c r="AC2501" s="663" t="s">
        <v>7433</v>
      </c>
      <c r="AD2501" s="663" t="s">
        <v>4941</v>
      </c>
      <c r="AE2501" s="663" t="s">
        <v>4934</v>
      </c>
      <c r="AF2501" s="663" t="s">
        <v>4929</v>
      </c>
    </row>
    <row r="2502" spans="1:32" s="608" customFormat="1" x14ac:dyDescent="0.25">
      <c r="A2502" s="624"/>
      <c r="B2502" s="617">
        <v>39123051100</v>
      </c>
      <c r="C2502" s="617" t="s">
        <v>4170</v>
      </c>
      <c r="D2502" s="617" t="s">
        <v>85</v>
      </c>
      <c r="E2502" s="617" t="s">
        <v>4855</v>
      </c>
      <c r="F2502" s="617" t="s">
        <v>26</v>
      </c>
      <c r="G2502" s="624"/>
      <c r="O2502" s="616"/>
      <c r="P2502" s="616"/>
      <c r="Q2502" s="616"/>
      <c r="AA2502" s="624"/>
      <c r="AB2502" s="663">
        <v>39147963700</v>
      </c>
      <c r="AC2502" s="663" t="s">
        <v>7434</v>
      </c>
      <c r="AD2502" s="663" t="s">
        <v>4938</v>
      </c>
      <c r="AE2502" s="663" t="s">
        <v>4942</v>
      </c>
      <c r="AF2502" s="663" t="s">
        <v>4929</v>
      </c>
    </row>
    <row r="2503" spans="1:32" s="608" customFormat="1" x14ac:dyDescent="0.25">
      <c r="A2503" s="624"/>
      <c r="B2503" s="617">
        <v>39123051201</v>
      </c>
      <c r="C2503" s="617" t="s">
        <v>4171</v>
      </c>
      <c r="D2503" s="617" t="s">
        <v>85</v>
      </c>
      <c r="E2503" s="617" t="s">
        <v>4855</v>
      </c>
      <c r="F2503" s="617" t="s">
        <v>26</v>
      </c>
      <c r="G2503" s="624"/>
      <c r="O2503" s="616"/>
      <c r="P2503" s="616"/>
      <c r="Q2503" s="616"/>
      <c r="AA2503" s="624"/>
      <c r="AB2503" s="663">
        <v>39147963800</v>
      </c>
      <c r="AC2503" s="663" t="s">
        <v>7435</v>
      </c>
      <c r="AD2503" s="663" t="s">
        <v>4948</v>
      </c>
      <c r="AE2503" s="663" t="s">
        <v>4942</v>
      </c>
      <c r="AF2503" s="663" t="s">
        <v>4929</v>
      </c>
    </row>
    <row r="2504" spans="1:32" s="608" customFormat="1" x14ac:dyDescent="0.25">
      <c r="A2504" s="624"/>
      <c r="B2504" s="617">
        <v>39123051202</v>
      </c>
      <c r="C2504" s="617" t="s">
        <v>4172</v>
      </c>
      <c r="D2504" s="617" t="s">
        <v>85</v>
      </c>
      <c r="E2504" s="617" t="s">
        <v>4855</v>
      </c>
      <c r="F2504" s="617" t="s">
        <v>26</v>
      </c>
      <c r="G2504" s="624"/>
      <c r="O2504" s="616"/>
      <c r="P2504" s="616"/>
      <c r="Q2504" s="616"/>
      <c r="AA2504" s="624"/>
      <c r="AB2504" s="663">
        <v>39149971400</v>
      </c>
      <c r="AC2504" s="663" t="s">
        <v>7436</v>
      </c>
      <c r="AD2504" s="663" t="s">
        <v>4941</v>
      </c>
      <c r="AE2504" s="663" t="s">
        <v>4934</v>
      </c>
      <c r="AF2504" s="663" t="s">
        <v>4929</v>
      </c>
    </row>
    <row r="2505" spans="1:32" s="608" customFormat="1" x14ac:dyDescent="0.25">
      <c r="A2505" s="624"/>
      <c r="B2505" s="617">
        <v>39123051203</v>
      </c>
      <c r="C2505" s="617" t="s">
        <v>4173</v>
      </c>
      <c r="D2505" s="617" t="s">
        <v>85</v>
      </c>
      <c r="E2505" s="617" t="s">
        <v>4855</v>
      </c>
      <c r="F2505" s="617" t="s">
        <v>26</v>
      </c>
      <c r="G2505" s="624"/>
      <c r="O2505" s="616"/>
      <c r="P2505" s="616"/>
      <c r="Q2505" s="616"/>
      <c r="AA2505" s="624"/>
      <c r="AB2505" s="663">
        <v>39149971500</v>
      </c>
      <c r="AC2505" s="663" t="s">
        <v>7437</v>
      </c>
      <c r="AD2505" s="663" t="s">
        <v>4938</v>
      </c>
      <c r="AE2505" s="663" t="s">
        <v>4934</v>
      </c>
      <c r="AF2505" s="663" t="s">
        <v>4929</v>
      </c>
    </row>
    <row r="2506" spans="1:32" s="608" customFormat="1" x14ac:dyDescent="0.25">
      <c r="A2506" s="624"/>
      <c r="B2506" s="617">
        <v>39125960100</v>
      </c>
      <c r="C2506" s="617" t="s">
        <v>4174</v>
      </c>
      <c r="D2506" s="617" t="s">
        <v>86</v>
      </c>
      <c r="E2506" s="617" t="s">
        <v>1672</v>
      </c>
      <c r="F2506" s="617" t="s">
        <v>26</v>
      </c>
      <c r="G2506" s="624"/>
      <c r="O2506" s="616"/>
      <c r="P2506" s="616"/>
      <c r="Q2506" s="616"/>
      <c r="AA2506" s="624"/>
      <c r="AB2506" s="663">
        <v>39149971600</v>
      </c>
      <c r="AC2506" s="663" t="s">
        <v>7438</v>
      </c>
      <c r="AD2506" s="663" t="s">
        <v>4938</v>
      </c>
      <c r="AE2506" s="663" t="s">
        <v>4942</v>
      </c>
      <c r="AF2506" s="663" t="s">
        <v>4929</v>
      </c>
    </row>
    <row r="2507" spans="1:32" s="608" customFormat="1" x14ac:dyDescent="0.25">
      <c r="A2507" s="624"/>
      <c r="B2507" s="617">
        <v>39125960200</v>
      </c>
      <c r="C2507" s="617" t="s">
        <v>4175</v>
      </c>
      <c r="D2507" s="617" t="s">
        <v>86</v>
      </c>
      <c r="E2507" s="617" t="s">
        <v>1672</v>
      </c>
      <c r="F2507" s="617" t="s">
        <v>26</v>
      </c>
      <c r="G2507" s="624"/>
      <c r="O2507" s="616"/>
      <c r="P2507" s="616"/>
      <c r="Q2507" s="616"/>
      <c r="AA2507" s="624"/>
      <c r="AB2507" s="663">
        <v>39149971700</v>
      </c>
      <c r="AC2507" s="663" t="s">
        <v>7439</v>
      </c>
      <c r="AD2507" s="663" t="s">
        <v>4938</v>
      </c>
      <c r="AE2507" s="663" t="s">
        <v>4939</v>
      </c>
      <c r="AF2507" s="663" t="s">
        <v>4929</v>
      </c>
    </row>
    <row r="2508" spans="1:32" s="608" customFormat="1" x14ac:dyDescent="0.25">
      <c r="A2508" s="624"/>
      <c r="B2508" s="617">
        <v>39125960300</v>
      </c>
      <c r="C2508" s="617" t="s">
        <v>4176</v>
      </c>
      <c r="D2508" s="617" t="s">
        <v>86</v>
      </c>
      <c r="E2508" s="617" t="s">
        <v>1672</v>
      </c>
      <c r="F2508" s="617" t="s">
        <v>26</v>
      </c>
      <c r="G2508" s="624"/>
      <c r="O2508" s="616"/>
      <c r="P2508" s="616"/>
      <c r="Q2508" s="616"/>
      <c r="AA2508" s="624"/>
      <c r="AB2508" s="663">
        <v>39149971800</v>
      </c>
      <c r="AC2508" s="663" t="s">
        <v>7440</v>
      </c>
      <c r="AD2508" s="663" t="s">
        <v>4948</v>
      </c>
      <c r="AE2508" s="663" t="s">
        <v>4931</v>
      </c>
      <c r="AF2508" s="663" t="s">
        <v>4929</v>
      </c>
    </row>
    <row r="2509" spans="1:32" s="608" customFormat="1" x14ac:dyDescent="0.25">
      <c r="A2509" s="624"/>
      <c r="B2509" s="617">
        <v>39125960400</v>
      </c>
      <c r="C2509" s="617" t="s">
        <v>4177</v>
      </c>
      <c r="D2509" s="617" t="s">
        <v>86</v>
      </c>
      <c r="E2509" s="617" t="s">
        <v>1672</v>
      </c>
      <c r="F2509" s="617" t="s">
        <v>26</v>
      </c>
      <c r="G2509" s="624"/>
      <c r="O2509" s="616"/>
      <c r="P2509" s="616"/>
      <c r="Q2509" s="616"/>
      <c r="AA2509" s="624"/>
      <c r="AB2509" s="663">
        <v>39149971900</v>
      </c>
      <c r="AC2509" s="663" t="s">
        <v>7441</v>
      </c>
      <c r="AD2509" s="663" t="s">
        <v>4948</v>
      </c>
      <c r="AE2509" s="663" t="s">
        <v>4942</v>
      </c>
      <c r="AF2509" s="663" t="s">
        <v>4929</v>
      </c>
    </row>
    <row r="2510" spans="1:32" s="608" customFormat="1" x14ac:dyDescent="0.25">
      <c r="A2510" s="624"/>
      <c r="B2510" s="617">
        <v>39125960500</v>
      </c>
      <c r="C2510" s="617" t="s">
        <v>4178</v>
      </c>
      <c r="D2510" s="617" t="s">
        <v>86</v>
      </c>
      <c r="E2510" s="617" t="s">
        <v>1672</v>
      </c>
      <c r="F2510" s="617" t="s">
        <v>26</v>
      </c>
      <c r="G2510" s="624"/>
      <c r="O2510" s="616"/>
      <c r="P2510" s="616"/>
      <c r="Q2510" s="616"/>
      <c r="AA2510" s="624"/>
      <c r="AB2510" s="663">
        <v>39149972000</v>
      </c>
      <c r="AC2510" s="663" t="s">
        <v>7442</v>
      </c>
      <c r="AD2510" s="663" t="s">
        <v>4927</v>
      </c>
      <c r="AE2510" s="663" t="s">
        <v>4939</v>
      </c>
      <c r="AF2510" s="663" t="s">
        <v>4983</v>
      </c>
    </row>
    <row r="2511" spans="1:32" s="608" customFormat="1" x14ac:dyDescent="0.25">
      <c r="A2511" s="624"/>
      <c r="B2511" s="617">
        <v>39127965801</v>
      </c>
      <c r="C2511" s="617" t="s">
        <v>4179</v>
      </c>
      <c r="D2511" s="617" t="s">
        <v>87</v>
      </c>
      <c r="E2511" s="617" t="s">
        <v>4854</v>
      </c>
      <c r="F2511" s="617" t="s">
        <v>26</v>
      </c>
      <c r="G2511" s="624"/>
      <c r="O2511" s="616"/>
      <c r="P2511" s="616"/>
      <c r="Q2511" s="616"/>
      <c r="AA2511" s="624"/>
      <c r="AB2511" s="663">
        <v>39149972100</v>
      </c>
      <c r="AC2511" s="663" t="s">
        <v>7443</v>
      </c>
      <c r="AD2511" s="663" t="s">
        <v>4941</v>
      </c>
      <c r="AE2511" s="663" t="s">
        <v>4931</v>
      </c>
      <c r="AF2511" s="663" t="s">
        <v>4929</v>
      </c>
    </row>
    <row r="2512" spans="1:32" s="608" customFormat="1" x14ac:dyDescent="0.25">
      <c r="A2512" s="624"/>
      <c r="B2512" s="617">
        <v>39127965802</v>
      </c>
      <c r="C2512" s="617" t="s">
        <v>4180</v>
      </c>
      <c r="D2512" s="617" t="s">
        <v>87</v>
      </c>
      <c r="E2512" s="617" t="s">
        <v>4854</v>
      </c>
      <c r="F2512" s="617" t="s">
        <v>26</v>
      </c>
      <c r="G2512" s="624"/>
      <c r="O2512" s="616"/>
      <c r="P2512" s="616"/>
      <c r="Q2512" s="616"/>
      <c r="AA2512" s="624"/>
      <c r="AB2512" s="663">
        <v>39149972200</v>
      </c>
      <c r="AC2512" s="663" t="s">
        <v>7444</v>
      </c>
      <c r="AD2512" s="663" t="s">
        <v>4948</v>
      </c>
      <c r="AE2512" s="663" t="s">
        <v>4928</v>
      </c>
      <c r="AF2512" s="663" t="s">
        <v>4929</v>
      </c>
    </row>
    <row r="2513" spans="1:32" s="608" customFormat="1" x14ac:dyDescent="0.25">
      <c r="A2513" s="624"/>
      <c r="B2513" s="617">
        <v>39127965901</v>
      </c>
      <c r="C2513" s="617" t="s">
        <v>4181</v>
      </c>
      <c r="D2513" s="617" t="s">
        <v>87</v>
      </c>
      <c r="E2513" s="617" t="s">
        <v>4854</v>
      </c>
      <c r="F2513" s="617" t="s">
        <v>26</v>
      </c>
      <c r="G2513" s="624"/>
      <c r="O2513" s="616"/>
      <c r="P2513" s="616"/>
      <c r="Q2513" s="616"/>
      <c r="AA2513" s="624"/>
      <c r="AB2513" s="663">
        <v>39149972300</v>
      </c>
      <c r="AC2513" s="663" t="s">
        <v>7445</v>
      </c>
      <c r="AD2513" s="663" t="s">
        <v>4941</v>
      </c>
      <c r="AE2513" s="663" t="s">
        <v>4928</v>
      </c>
      <c r="AF2513" s="663" t="s">
        <v>4929</v>
      </c>
    </row>
    <row r="2514" spans="1:32" s="608" customFormat="1" x14ac:dyDescent="0.25">
      <c r="A2514" s="624"/>
      <c r="B2514" s="617">
        <v>39127965902</v>
      </c>
      <c r="C2514" s="617" t="s">
        <v>4182</v>
      </c>
      <c r="D2514" s="617" t="s">
        <v>87</v>
      </c>
      <c r="E2514" s="617" t="s">
        <v>4854</v>
      </c>
      <c r="F2514" s="617" t="s">
        <v>26</v>
      </c>
      <c r="G2514" s="624"/>
      <c r="O2514" s="616"/>
      <c r="P2514" s="616"/>
      <c r="Q2514" s="616"/>
      <c r="AA2514" s="624"/>
      <c r="AB2514" s="663">
        <v>39151700100</v>
      </c>
      <c r="AC2514" s="663" t="s">
        <v>7446</v>
      </c>
      <c r="AD2514" s="663" t="s">
        <v>4927</v>
      </c>
      <c r="AE2514" s="663" t="s">
        <v>4928</v>
      </c>
      <c r="AF2514" s="663" t="s">
        <v>4962</v>
      </c>
    </row>
    <row r="2515" spans="1:32" s="608" customFormat="1" x14ac:dyDescent="0.25">
      <c r="A2515" s="624"/>
      <c r="B2515" s="617">
        <v>39127966000</v>
      </c>
      <c r="C2515" s="617" t="s">
        <v>4183</v>
      </c>
      <c r="D2515" s="617" t="s">
        <v>87</v>
      </c>
      <c r="E2515" s="617" t="s">
        <v>4854</v>
      </c>
      <c r="F2515" s="617" t="s">
        <v>24</v>
      </c>
      <c r="G2515" s="624"/>
      <c r="O2515" s="616"/>
      <c r="P2515" s="616"/>
      <c r="Q2515" s="616"/>
      <c r="AA2515" s="624"/>
      <c r="AB2515" s="663">
        <v>39151700200</v>
      </c>
      <c r="AC2515" s="663" t="s">
        <v>7447</v>
      </c>
      <c r="AD2515" s="663" t="s">
        <v>4927</v>
      </c>
      <c r="AE2515" s="663" t="s">
        <v>4928</v>
      </c>
      <c r="AF2515" s="663" t="s">
        <v>4946</v>
      </c>
    </row>
    <row r="2516" spans="1:32" s="608" customFormat="1" x14ac:dyDescent="0.25">
      <c r="A2516" s="624"/>
      <c r="B2516" s="617">
        <v>39127966100</v>
      </c>
      <c r="C2516" s="617" t="s">
        <v>4184</v>
      </c>
      <c r="D2516" s="617" t="s">
        <v>87</v>
      </c>
      <c r="E2516" s="617" t="s">
        <v>4854</v>
      </c>
      <c r="F2516" s="617" t="s">
        <v>26</v>
      </c>
      <c r="G2516" s="624"/>
      <c r="O2516" s="616"/>
      <c r="P2516" s="616"/>
      <c r="Q2516" s="616"/>
      <c r="AA2516" s="624"/>
      <c r="AB2516" s="663">
        <v>39151700300</v>
      </c>
      <c r="AC2516" s="663" t="s">
        <v>7448</v>
      </c>
      <c r="AD2516" s="663" t="s">
        <v>4948</v>
      </c>
      <c r="AE2516" s="663" t="s">
        <v>4942</v>
      </c>
      <c r="AF2516" s="663" t="s">
        <v>4962</v>
      </c>
    </row>
    <row r="2517" spans="1:32" s="608" customFormat="1" x14ac:dyDescent="0.25">
      <c r="A2517" s="624"/>
      <c r="B2517" s="617">
        <v>39127966200</v>
      </c>
      <c r="C2517" s="617" t="s">
        <v>4185</v>
      </c>
      <c r="D2517" s="617" t="s">
        <v>87</v>
      </c>
      <c r="E2517" s="617" t="s">
        <v>4854</v>
      </c>
      <c r="F2517" s="617" t="s">
        <v>24</v>
      </c>
      <c r="G2517" s="624"/>
      <c r="O2517" s="616"/>
      <c r="P2517" s="616"/>
      <c r="Q2517" s="616"/>
      <c r="AA2517" s="624"/>
      <c r="AB2517" s="663">
        <v>39151700400</v>
      </c>
      <c r="AC2517" s="663" t="s">
        <v>7449</v>
      </c>
      <c r="AD2517" s="663" t="s">
        <v>4941</v>
      </c>
      <c r="AE2517" s="663" t="s">
        <v>4934</v>
      </c>
      <c r="AF2517" s="663" t="s">
        <v>4962</v>
      </c>
    </row>
    <row r="2518" spans="1:32" s="608" customFormat="1" x14ac:dyDescent="0.25">
      <c r="A2518" s="624"/>
      <c r="B2518" s="617">
        <v>39127966301</v>
      </c>
      <c r="C2518" s="617" t="s">
        <v>4186</v>
      </c>
      <c r="D2518" s="617" t="s">
        <v>87</v>
      </c>
      <c r="E2518" s="617" t="s">
        <v>4854</v>
      </c>
      <c r="F2518" s="617" t="s">
        <v>24</v>
      </c>
      <c r="G2518" s="624"/>
      <c r="O2518" s="616"/>
      <c r="P2518" s="616"/>
      <c r="Q2518" s="616"/>
      <c r="AA2518" s="624"/>
      <c r="AB2518" s="663">
        <v>39151700500</v>
      </c>
      <c r="AC2518" s="663" t="s">
        <v>7450</v>
      </c>
      <c r="AD2518" s="663" t="s">
        <v>4948</v>
      </c>
      <c r="AE2518" s="663" t="s">
        <v>5006</v>
      </c>
      <c r="AF2518" s="663" t="s">
        <v>4962</v>
      </c>
    </row>
    <row r="2519" spans="1:32" s="608" customFormat="1" x14ac:dyDescent="0.25">
      <c r="A2519" s="624"/>
      <c r="B2519" s="617">
        <v>39127966302</v>
      </c>
      <c r="C2519" s="617" t="s">
        <v>4187</v>
      </c>
      <c r="D2519" s="617" t="s">
        <v>87</v>
      </c>
      <c r="E2519" s="617" t="s">
        <v>4854</v>
      </c>
      <c r="F2519" s="617" t="s">
        <v>24</v>
      </c>
      <c r="G2519" s="624"/>
      <c r="O2519" s="616"/>
      <c r="P2519" s="616"/>
      <c r="Q2519" s="616"/>
      <c r="AA2519" s="624"/>
      <c r="AB2519" s="663">
        <v>39151700600</v>
      </c>
      <c r="AC2519" s="663" t="s">
        <v>7451</v>
      </c>
      <c r="AD2519" s="663" t="s">
        <v>4941</v>
      </c>
      <c r="AE2519" s="663" t="s">
        <v>4942</v>
      </c>
      <c r="AF2519" s="663" t="s">
        <v>4962</v>
      </c>
    </row>
    <row r="2520" spans="1:32" s="608" customFormat="1" x14ac:dyDescent="0.25">
      <c r="A2520" s="624"/>
      <c r="B2520" s="617">
        <v>39129020100</v>
      </c>
      <c r="C2520" s="617" t="s">
        <v>4188</v>
      </c>
      <c r="D2520" s="617" t="s">
        <v>88</v>
      </c>
      <c r="E2520" s="617" t="s">
        <v>4854</v>
      </c>
      <c r="F2520" s="617" t="s">
        <v>24</v>
      </c>
      <c r="G2520" s="624"/>
      <c r="O2520" s="616"/>
      <c r="P2520" s="616"/>
      <c r="Q2520" s="616"/>
      <c r="AA2520" s="624"/>
      <c r="AB2520" s="663">
        <v>39151700700</v>
      </c>
      <c r="AC2520" s="663" t="s">
        <v>7452</v>
      </c>
      <c r="AD2520" s="663" t="s">
        <v>4938</v>
      </c>
      <c r="AE2520" s="663" t="s">
        <v>4931</v>
      </c>
      <c r="AF2520" s="663" t="s">
        <v>4962</v>
      </c>
    </row>
    <row r="2521" spans="1:32" s="608" customFormat="1" x14ac:dyDescent="0.25">
      <c r="A2521" s="624"/>
      <c r="B2521" s="617">
        <v>39129020200</v>
      </c>
      <c r="C2521" s="617" t="s">
        <v>4189</v>
      </c>
      <c r="D2521" s="617" t="s">
        <v>88</v>
      </c>
      <c r="E2521" s="617" t="s">
        <v>4854</v>
      </c>
      <c r="F2521" s="617" t="s">
        <v>24</v>
      </c>
      <c r="G2521" s="624"/>
      <c r="O2521" s="616"/>
      <c r="P2521" s="616"/>
      <c r="Q2521" s="616"/>
      <c r="AA2521" s="624"/>
      <c r="AB2521" s="663">
        <v>39151700800</v>
      </c>
      <c r="AC2521" s="663" t="s">
        <v>7453</v>
      </c>
      <c r="AD2521" s="663" t="s">
        <v>4948</v>
      </c>
      <c r="AE2521" s="663" t="s">
        <v>4942</v>
      </c>
      <c r="AF2521" s="663" t="s">
        <v>4962</v>
      </c>
    </row>
    <row r="2522" spans="1:32" s="608" customFormat="1" x14ac:dyDescent="0.25">
      <c r="A2522" s="624"/>
      <c r="B2522" s="617">
        <v>39129020310</v>
      </c>
      <c r="C2522" s="617" t="s">
        <v>4190</v>
      </c>
      <c r="D2522" s="617" t="s">
        <v>88</v>
      </c>
      <c r="E2522" s="617" t="s">
        <v>4854</v>
      </c>
      <c r="F2522" s="617" t="s">
        <v>26</v>
      </c>
      <c r="G2522" s="624"/>
      <c r="O2522" s="616"/>
      <c r="P2522" s="616"/>
      <c r="Q2522" s="616"/>
      <c r="AA2522" s="624"/>
      <c r="AB2522" s="663">
        <v>39151701000</v>
      </c>
      <c r="AC2522" s="663" t="s">
        <v>7454</v>
      </c>
      <c r="AD2522" s="663" t="s">
        <v>4948</v>
      </c>
      <c r="AE2522" s="663" t="s">
        <v>4942</v>
      </c>
      <c r="AF2522" s="663" t="s">
        <v>4962</v>
      </c>
    </row>
    <row r="2523" spans="1:32" s="608" customFormat="1" x14ac:dyDescent="0.25">
      <c r="A2523" s="624"/>
      <c r="B2523" s="617">
        <v>39129020320</v>
      </c>
      <c r="C2523" s="617" t="s">
        <v>4191</v>
      </c>
      <c r="D2523" s="617" t="s">
        <v>88</v>
      </c>
      <c r="E2523" s="617" t="s">
        <v>4854</v>
      </c>
      <c r="F2523" s="617" t="s">
        <v>26</v>
      </c>
      <c r="G2523" s="624"/>
      <c r="O2523" s="616"/>
      <c r="P2523" s="616"/>
      <c r="Q2523" s="616"/>
      <c r="AA2523" s="624"/>
      <c r="AB2523" s="663">
        <v>39151701100</v>
      </c>
      <c r="AC2523" s="663" t="s">
        <v>7455</v>
      </c>
      <c r="AD2523" s="663" t="s">
        <v>4941</v>
      </c>
      <c r="AE2523" s="663" t="s">
        <v>4934</v>
      </c>
      <c r="AF2523" s="663" t="s">
        <v>4962</v>
      </c>
    </row>
    <row r="2524" spans="1:32" s="608" customFormat="1" x14ac:dyDescent="0.25">
      <c r="A2524" s="624"/>
      <c r="B2524" s="617">
        <v>39129020400</v>
      </c>
      <c r="C2524" s="617" t="s">
        <v>4192</v>
      </c>
      <c r="D2524" s="617" t="s">
        <v>88</v>
      </c>
      <c r="E2524" s="617" t="s">
        <v>4854</v>
      </c>
      <c r="F2524" s="617" t="s">
        <v>24</v>
      </c>
      <c r="G2524" s="624"/>
      <c r="O2524" s="616"/>
      <c r="P2524" s="616"/>
      <c r="Q2524" s="616"/>
      <c r="AA2524" s="624"/>
      <c r="AB2524" s="663">
        <v>39151701200</v>
      </c>
      <c r="AC2524" s="663" t="s">
        <v>7456</v>
      </c>
      <c r="AD2524" s="663" t="s">
        <v>4941</v>
      </c>
      <c r="AE2524" s="663" t="s">
        <v>4939</v>
      </c>
      <c r="AF2524" s="663" t="s">
        <v>4962</v>
      </c>
    </row>
    <row r="2525" spans="1:32" s="608" customFormat="1" x14ac:dyDescent="0.25">
      <c r="A2525" s="624"/>
      <c r="B2525" s="617">
        <v>39129021101</v>
      </c>
      <c r="C2525" s="617" t="s">
        <v>4193</v>
      </c>
      <c r="D2525" s="617" t="s">
        <v>88</v>
      </c>
      <c r="E2525" s="617" t="s">
        <v>4854</v>
      </c>
      <c r="F2525" s="617" t="s">
        <v>26</v>
      </c>
      <c r="G2525" s="624"/>
      <c r="O2525" s="616"/>
      <c r="P2525" s="616"/>
      <c r="Q2525" s="616"/>
      <c r="AA2525" s="624"/>
      <c r="AB2525" s="663">
        <v>39151701300</v>
      </c>
      <c r="AC2525" s="663" t="s">
        <v>7457</v>
      </c>
      <c r="AD2525" s="663" t="s">
        <v>4941</v>
      </c>
      <c r="AE2525" s="663" t="s">
        <v>4942</v>
      </c>
      <c r="AF2525" s="663" t="s">
        <v>4962</v>
      </c>
    </row>
    <row r="2526" spans="1:32" s="608" customFormat="1" x14ac:dyDescent="0.25">
      <c r="A2526" s="624"/>
      <c r="B2526" s="617">
        <v>39129021102</v>
      </c>
      <c r="C2526" s="617" t="s">
        <v>4194</v>
      </c>
      <c r="D2526" s="617" t="s">
        <v>88</v>
      </c>
      <c r="E2526" s="617" t="s">
        <v>4854</v>
      </c>
      <c r="F2526" s="617" t="s">
        <v>26</v>
      </c>
      <c r="G2526" s="624"/>
      <c r="O2526" s="616"/>
      <c r="P2526" s="616"/>
      <c r="Q2526" s="616"/>
      <c r="AA2526" s="624"/>
      <c r="AB2526" s="663">
        <v>39151701500</v>
      </c>
      <c r="AC2526" s="663" t="s">
        <v>7458</v>
      </c>
      <c r="AD2526" s="663" t="s">
        <v>4950</v>
      </c>
      <c r="AE2526" s="663" t="s">
        <v>4942</v>
      </c>
      <c r="AF2526" s="663" t="s">
        <v>4962</v>
      </c>
    </row>
    <row r="2527" spans="1:32" s="608" customFormat="1" x14ac:dyDescent="0.25">
      <c r="A2527" s="624"/>
      <c r="B2527" s="617">
        <v>39129021201</v>
      </c>
      <c r="C2527" s="617" t="s">
        <v>4195</v>
      </c>
      <c r="D2527" s="617" t="s">
        <v>88</v>
      </c>
      <c r="E2527" s="617" t="s">
        <v>4854</v>
      </c>
      <c r="F2527" s="617" t="s">
        <v>26</v>
      </c>
      <c r="G2527" s="624"/>
      <c r="O2527" s="616"/>
      <c r="P2527" s="616"/>
      <c r="Q2527" s="616"/>
      <c r="AA2527" s="624"/>
      <c r="AB2527" s="663">
        <v>39151701700</v>
      </c>
      <c r="AC2527" s="663" t="s">
        <v>7459</v>
      </c>
      <c r="AD2527" s="663" t="s">
        <v>4950</v>
      </c>
      <c r="AE2527" s="663" t="s">
        <v>4942</v>
      </c>
      <c r="AF2527" s="663" t="s">
        <v>4962</v>
      </c>
    </row>
    <row r="2528" spans="1:32" s="608" customFormat="1" x14ac:dyDescent="0.25">
      <c r="A2528" s="624"/>
      <c r="B2528" s="617">
        <v>39129021202</v>
      </c>
      <c r="C2528" s="617" t="s">
        <v>4196</v>
      </c>
      <c r="D2528" s="617" t="s">
        <v>88</v>
      </c>
      <c r="E2528" s="617" t="s">
        <v>4854</v>
      </c>
      <c r="F2528" s="617" t="s">
        <v>26</v>
      </c>
      <c r="G2528" s="624"/>
      <c r="O2528" s="616"/>
      <c r="P2528" s="616"/>
      <c r="Q2528" s="616"/>
      <c r="AA2528" s="624"/>
      <c r="AB2528" s="663">
        <v>39151701800</v>
      </c>
      <c r="AC2528" s="663" t="s">
        <v>7460</v>
      </c>
      <c r="AD2528" s="663" t="s">
        <v>4950</v>
      </c>
      <c r="AE2528" s="663" t="s">
        <v>4934</v>
      </c>
      <c r="AF2528" s="663" t="s">
        <v>4962</v>
      </c>
    </row>
    <row r="2529" spans="1:32" s="608" customFormat="1" x14ac:dyDescent="0.25">
      <c r="A2529" s="624"/>
      <c r="B2529" s="617">
        <v>39129021300</v>
      </c>
      <c r="C2529" s="617" t="s">
        <v>4197</v>
      </c>
      <c r="D2529" s="617" t="s">
        <v>88</v>
      </c>
      <c r="E2529" s="617" t="s">
        <v>4854</v>
      </c>
      <c r="F2529" s="617" t="s">
        <v>26</v>
      </c>
      <c r="G2529" s="624"/>
      <c r="O2529" s="616"/>
      <c r="P2529" s="616"/>
      <c r="Q2529" s="616"/>
      <c r="AA2529" s="624"/>
      <c r="AB2529" s="663">
        <v>39151702100</v>
      </c>
      <c r="AC2529" s="663" t="s">
        <v>7461</v>
      </c>
      <c r="AD2529" s="663" t="s">
        <v>4950</v>
      </c>
      <c r="AE2529" s="663" t="s">
        <v>4942</v>
      </c>
      <c r="AF2529" s="663" t="s">
        <v>4962</v>
      </c>
    </row>
    <row r="2530" spans="1:32" s="608" customFormat="1" x14ac:dyDescent="0.25">
      <c r="A2530" s="624"/>
      <c r="B2530" s="617">
        <v>39129021401</v>
      </c>
      <c r="C2530" s="617" t="s">
        <v>4198</v>
      </c>
      <c r="D2530" s="617" t="s">
        <v>88</v>
      </c>
      <c r="E2530" s="617" t="s">
        <v>4854</v>
      </c>
      <c r="F2530" s="617" t="s">
        <v>26</v>
      </c>
      <c r="G2530" s="624"/>
      <c r="O2530" s="616"/>
      <c r="P2530" s="616"/>
      <c r="Q2530" s="616"/>
      <c r="AA2530" s="624"/>
      <c r="AB2530" s="663">
        <v>39151702300</v>
      </c>
      <c r="AC2530" s="663" t="s">
        <v>7462</v>
      </c>
      <c r="AD2530" s="663" t="s">
        <v>4927</v>
      </c>
      <c r="AE2530" s="663" t="s">
        <v>4928</v>
      </c>
      <c r="AF2530" s="663" t="s">
        <v>4946</v>
      </c>
    </row>
    <row r="2531" spans="1:32" s="608" customFormat="1" x14ac:dyDescent="0.25">
      <c r="A2531" s="624"/>
      <c r="B2531" s="617">
        <v>39129021403</v>
      </c>
      <c r="C2531" s="617" t="s">
        <v>4199</v>
      </c>
      <c r="D2531" s="617" t="s">
        <v>88</v>
      </c>
      <c r="E2531" s="617" t="s">
        <v>4854</v>
      </c>
      <c r="F2531" s="617" t="s">
        <v>26</v>
      </c>
      <c r="G2531" s="624"/>
      <c r="O2531" s="616"/>
      <c r="P2531" s="616"/>
      <c r="Q2531" s="616"/>
      <c r="AA2531" s="624"/>
      <c r="AB2531" s="663">
        <v>39151702500</v>
      </c>
      <c r="AC2531" s="663" t="s">
        <v>7463</v>
      </c>
      <c r="AD2531" s="663" t="s">
        <v>4948</v>
      </c>
      <c r="AE2531" s="663" t="s">
        <v>4931</v>
      </c>
      <c r="AF2531" s="663" t="s">
        <v>4962</v>
      </c>
    </row>
    <row r="2532" spans="1:32" s="608" customFormat="1" x14ac:dyDescent="0.25">
      <c r="A2532" s="624"/>
      <c r="B2532" s="617">
        <v>39129021404</v>
      </c>
      <c r="C2532" s="617" t="s">
        <v>4200</v>
      </c>
      <c r="D2532" s="617" t="s">
        <v>88</v>
      </c>
      <c r="E2532" s="617" t="s">
        <v>4854</v>
      </c>
      <c r="F2532" s="617" t="s">
        <v>26</v>
      </c>
      <c r="G2532" s="624"/>
      <c r="O2532" s="616"/>
      <c r="P2532" s="616"/>
      <c r="Q2532" s="616"/>
      <c r="AA2532" s="624"/>
      <c r="AB2532" s="663">
        <v>39151710200</v>
      </c>
      <c r="AC2532" s="663" t="s">
        <v>7464</v>
      </c>
      <c r="AD2532" s="663" t="s">
        <v>4927</v>
      </c>
      <c r="AE2532" s="663" t="s">
        <v>4934</v>
      </c>
      <c r="AF2532" s="663" t="s">
        <v>4983</v>
      </c>
    </row>
    <row r="2533" spans="1:32" s="608" customFormat="1" x14ac:dyDescent="0.25">
      <c r="A2533" s="624"/>
      <c r="B2533" s="617">
        <v>39129021500</v>
      </c>
      <c r="C2533" s="617" t="s">
        <v>4201</v>
      </c>
      <c r="D2533" s="617" t="s">
        <v>88</v>
      </c>
      <c r="E2533" s="617" t="s">
        <v>4854</v>
      </c>
      <c r="F2533" s="617" t="s">
        <v>26</v>
      </c>
      <c r="G2533" s="624"/>
      <c r="O2533" s="616"/>
      <c r="P2533" s="616"/>
      <c r="Q2533" s="616"/>
      <c r="AA2533" s="624"/>
      <c r="AB2533" s="663">
        <v>39151710300</v>
      </c>
      <c r="AC2533" s="663" t="s">
        <v>7465</v>
      </c>
      <c r="AD2533" s="663" t="s">
        <v>4948</v>
      </c>
      <c r="AE2533" s="663" t="s">
        <v>4939</v>
      </c>
      <c r="AF2533" s="663" t="s">
        <v>4983</v>
      </c>
    </row>
    <row r="2534" spans="1:32" s="608" customFormat="1" x14ac:dyDescent="0.25">
      <c r="A2534" s="624"/>
      <c r="B2534" s="617">
        <v>39129021600</v>
      </c>
      <c r="C2534" s="617" t="s">
        <v>4202</v>
      </c>
      <c r="D2534" s="617" t="s">
        <v>88</v>
      </c>
      <c r="E2534" s="617" t="s">
        <v>4854</v>
      </c>
      <c r="F2534" s="617" t="s">
        <v>26</v>
      </c>
      <c r="G2534" s="624"/>
      <c r="O2534" s="616"/>
      <c r="P2534" s="616"/>
      <c r="Q2534" s="616"/>
      <c r="AA2534" s="624"/>
      <c r="AB2534" s="663">
        <v>39151710400</v>
      </c>
      <c r="AC2534" s="663" t="s">
        <v>7466</v>
      </c>
      <c r="AD2534" s="663" t="s">
        <v>4927</v>
      </c>
      <c r="AE2534" s="663" t="s">
        <v>4939</v>
      </c>
      <c r="AF2534" s="663" t="s">
        <v>4983</v>
      </c>
    </row>
    <row r="2535" spans="1:32" s="608" customFormat="1" x14ac:dyDescent="0.25">
      <c r="A2535" s="624"/>
      <c r="B2535" s="617">
        <v>39129021700</v>
      </c>
      <c r="C2535" s="617" t="s">
        <v>4203</v>
      </c>
      <c r="D2535" s="617" t="s">
        <v>88</v>
      </c>
      <c r="E2535" s="617" t="s">
        <v>4854</v>
      </c>
      <c r="F2535" s="617" t="s">
        <v>26</v>
      </c>
      <c r="G2535" s="624"/>
      <c r="O2535" s="616"/>
      <c r="P2535" s="616"/>
      <c r="Q2535" s="616"/>
      <c r="AA2535" s="624"/>
      <c r="AB2535" s="663">
        <v>39151710500</v>
      </c>
      <c r="AC2535" s="663" t="s">
        <v>7467</v>
      </c>
      <c r="AD2535" s="663" t="s">
        <v>4927</v>
      </c>
      <c r="AE2535" s="663" t="s">
        <v>4934</v>
      </c>
      <c r="AF2535" s="663" t="s">
        <v>4983</v>
      </c>
    </row>
    <row r="2536" spans="1:32" s="608" customFormat="1" x14ac:dyDescent="0.25">
      <c r="A2536" s="624"/>
      <c r="B2536" s="617">
        <v>39131952200</v>
      </c>
      <c r="C2536" s="617" t="s">
        <v>4204</v>
      </c>
      <c r="D2536" s="617" t="s">
        <v>89</v>
      </c>
      <c r="E2536" s="617" t="s">
        <v>1672</v>
      </c>
      <c r="F2536" s="617" t="s">
        <v>24</v>
      </c>
      <c r="G2536" s="624"/>
      <c r="O2536" s="616"/>
      <c r="P2536" s="616"/>
      <c r="Q2536" s="616"/>
      <c r="AA2536" s="624"/>
      <c r="AB2536" s="663">
        <v>39151710600</v>
      </c>
      <c r="AC2536" s="663" t="s">
        <v>7468</v>
      </c>
      <c r="AD2536" s="663" t="s">
        <v>4938</v>
      </c>
      <c r="AE2536" s="663" t="s">
        <v>4942</v>
      </c>
      <c r="AF2536" s="663" t="s">
        <v>4929</v>
      </c>
    </row>
    <row r="2537" spans="1:32" s="608" customFormat="1" x14ac:dyDescent="0.25">
      <c r="A2537" s="624"/>
      <c r="B2537" s="617">
        <v>39131952300</v>
      </c>
      <c r="C2537" s="617" t="s">
        <v>4205</v>
      </c>
      <c r="D2537" s="617" t="s">
        <v>89</v>
      </c>
      <c r="E2537" s="617" t="s">
        <v>1672</v>
      </c>
      <c r="F2537" s="617" t="s">
        <v>26</v>
      </c>
      <c r="G2537" s="624"/>
      <c r="O2537" s="616"/>
      <c r="P2537" s="616"/>
      <c r="Q2537" s="616"/>
      <c r="AA2537" s="624"/>
      <c r="AB2537" s="663">
        <v>39151710700</v>
      </c>
      <c r="AC2537" s="663" t="s">
        <v>7469</v>
      </c>
      <c r="AD2537" s="663" t="s">
        <v>4938</v>
      </c>
      <c r="AE2537" s="663" t="s">
        <v>4931</v>
      </c>
      <c r="AF2537" s="663" t="s">
        <v>4929</v>
      </c>
    </row>
    <row r="2538" spans="1:32" s="608" customFormat="1" x14ac:dyDescent="0.25">
      <c r="A2538" s="624"/>
      <c r="B2538" s="617">
        <v>39131952400</v>
      </c>
      <c r="C2538" s="617" t="s">
        <v>4206</v>
      </c>
      <c r="D2538" s="617" t="s">
        <v>89</v>
      </c>
      <c r="E2538" s="617" t="s">
        <v>1672</v>
      </c>
      <c r="F2538" s="617" t="s">
        <v>26</v>
      </c>
      <c r="G2538" s="624"/>
      <c r="O2538" s="616"/>
      <c r="P2538" s="616"/>
      <c r="Q2538" s="616"/>
      <c r="AA2538" s="624"/>
      <c r="AB2538" s="663">
        <v>39151710800</v>
      </c>
      <c r="AC2538" s="663" t="s">
        <v>7470</v>
      </c>
      <c r="AD2538" s="663" t="s">
        <v>4948</v>
      </c>
      <c r="AE2538" s="663" t="s">
        <v>4934</v>
      </c>
      <c r="AF2538" s="663" t="s">
        <v>4929</v>
      </c>
    </row>
    <row r="2539" spans="1:32" s="608" customFormat="1" x14ac:dyDescent="0.25">
      <c r="A2539" s="624"/>
      <c r="B2539" s="617">
        <v>39131952500</v>
      </c>
      <c r="C2539" s="617" t="s">
        <v>4207</v>
      </c>
      <c r="D2539" s="617" t="s">
        <v>89</v>
      </c>
      <c r="E2539" s="617" t="s">
        <v>1672</v>
      </c>
      <c r="F2539" s="617" t="s">
        <v>26</v>
      </c>
      <c r="G2539" s="624"/>
      <c r="O2539" s="616"/>
      <c r="P2539" s="616"/>
      <c r="Q2539" s="616"/>
      <c r="AA2539" s="624"/>
      <c r="AB2539" s="663">
        <v>39151710900</v>
      </c>
      <c r="AC2539" s="663" t="s">
        <v>7471</v>
      </c>
      <c r="AD2539" s="663" t="s">
        <v>4941</v>
      </c>
      <c r="AE2539" s="663" t="s">
        <v>4934</v>
      </c>
      <c r="AF2539" s="663" t="s">
        <v>4929</v>
      </c>
    </row>
    <row r="2540" spans="1:32" s="608" customFormat="1" x14ac:dyDescent="0.25">
      <c r="A2540" s="624"/>
      <c r="B2540" s="617">
        <v>39131952601</v>
      </c>
      <c r="C2540" s="617" t="s">
        <v>4208</v>
      </c>
      <c r="D2540" s="617" t="s">
        <v>89</v>
      </c>
      <c r="E2540" s="617" t="s">
        <v>1672</v>
      </c>
      <c r="F2540" s="617" t="s">
        <v>26</v>
      </c>
      <c r="G2540" s="624"/>
      <c r="O2540" s="616"/>
      <c r="P2540" s="616"/>
      <c r="Q2540" s="616"/>
      <c r="AA2540" s="624"/>
      <c r="AB2540" s="663">
        <v>39151711000</v>
      </c>
      <c r="AC2540" s="663" t="s">
        <v>7472</v>
      </c>
      <c r="AD2540" s="663" t="s">
        <v>4938</v>
      </c>
      <c r="AE2540" s="663" t="s">
        <v>4942</v>
      </c>
      <c r="AF2540" s="663" t="s">
        <v>4929</v>
      </c>
    </row>
    <row r="2541" spans="1:32" s="608" customFormat="1" x14ac:dyDescent="0.25">
      <c r="A2541" s="624"/>
      <c r="B2541" s="617">
        <v>39131952602</v>
      </c>
      <c r="C2541" s="617" t="s">
        <v>4209</v>
      </c>
      <c r="D2541" s="617" t="s">
        <v>89</v>
      </c>
      <c r="E2541" s="617" t="s">
        <v>1672</v>
      </c>
      <c r="F2541" s="617" t="s">
        <v>26</v>
      </c>
      <c r="G2541" s="624"/>
      <c r="O2541" s="616"/>
      <c r="P2541" s="616"/>
      <c r="Q2541" s="616"/>
      <c r="AA2541" s="624"/>
      <c r="AB2541" s="663">
        <v>39151711111</v>
      </c>
      <c r="AC2541" s="663" t="s">
        <v>7473</v>
      </c>
      <c r="AD2541" s="663" t="s">
        <v>4948</v>
      </c>
      <c r="AE2541" s="663" t="s">
        <v>4934</v>
      </c>
      <c r="AF2541" s="663" t="s">
        <v>4946</v>
      </c>
    </row>
    <row r="2542" spans="1:32" s="608" customFormat="1" x14ac:dyDescent="0.25">
      <c r="A2542" s="624"/>
      <c r="B2542" s="617">
        <v>39131952700</v>
      </c>
      <c r="C2542" s="617" t="s">
        <v>4210</v>
      </c>
      <c r="D2542" s="617" t="s">
        <v>89</v>
      </c>
      <c r="E2542" s="617" t="s">
        <v>1672</v>
      </c>
      <c r="F2542" s="617" t="s">
        <v>26</v>
      </c>
      <c r="G2542" s="624"/>
      <c r="O2542" s="616"/>
      <c r="P2542" s="616"/>
      <c r="Q2542" s="616"/>
      <c r="AA2542" s="624"/>
      <c r="AB2542" s="663">
        <v>39151711112</v>
      </c>
      <c r="AC2542" s="663" t="s">
        <v>7474</v>
      </c>
      <c r="AD2542" s="663" t="s">
        <v>4948</v>
      </c>
      <c r="AE2542" s="663" t="s">
        <v>4942</v>
      </c>
      <c r="AF2542" s="663" t="s">
        <v>4946</v>
      </c>
    </row>
    <row r="2543" spans="1:32" s="608" customFormat="1" x14ac:dyDescent="0.25">
      <c r="A2543" s="624"/>
      <c r="B2543" s="617">
        <v>39133600102</v>
      </c>
      <c r="C2543" s="617" t="s">
        <v>4211</v>
      </c>
      <c r="D2543" s="617" t="s">
        <v>90</v>
      </c>
      <c r="E2543" s="617" t="s">
        <v>4860</v>
      </c>
      <c r="F2543" s="617" t="s">
        <v>26</v>
      </c>
      <c r="G2543" s="624"/>
      <c r="O2543" s="616"/>
      <c r="P2543" s="616"/>
      <c r="Q2543" s="616"/>
      <c r="AA2543" s="624"/>
      <c r="AB2543" s="663">
        <v>39151711121</v>
      </c>
      <c r="AC2543" s="663" t="s">
        <v>7475</v>
      </c>
      <c r="AD2543" s="663" t="s">
        <v>4948</v>
      </c>
      <c r="AE2543" s="663" t="s">
        <v>4939</v>
      </c>
      <c r="AF2543" s="663" t="s">
        <v>4946</v>
      </c>
    </row>
    <row r="2544" spans="1:32" s="608" customFormat="1" x14ac:dyDescent="0.25">
      <c r="A2544" s="624"/>
      <c r="B2544" s="617">
        <v>39133600103</v>
      </c>
      <c r="C2544" s="617" t="s">
        <v>4212</v>
      </c>
      <c r="D2544" s="617" t="s">
        <v>90</v>
      </c>
      <c r="E2544" s="617" t="s">
        <v>4860</v>
      </c>
      <c r="F2544" s="617" t="s">
        <v>26</v>
      </c>
      <c r="G2544" s="624"/>
      <c r="O2544" s="616"/>
      <c r="P2544" s="616"/>
      <c r="Q2544" s="616"/>
      <c r="AA2544" s="624"/>
      <c r="AB2544" s="663">
        <v>39151711122</v>
      </c>
      <c r="AC2544" s="663" t="s">
        <v>7476</v>
      </c>
      <c r="AD2544" s="663" t="s">
        <v>4941</v>
      </c>
      <c r="AE2544" s="663" t="s">
        <v>4934</v>
      </c>
      <c r="AF2544" s="663" t="s">
        <v>4946</v>
      </c>
    </row>
    <row r="2545" spans="1:32" s="608" customFormat="1" x14ac:dyDescent="0.25">
      <c r="A2545" s="624"/>
      <c r="B2545" s="617">
        <v>39133600200</v>
      </c>
      <c r="C2545" s="617" t="s">
        <v>4213</v>
      </c>
      <c r="D2545" s="617" t="s">
        <v>90</v>
      </c>
      <c r="E2545" s="617" t="s">
        <v>4860</v>
      </c>
      <c r="F2545" s="617" t="s">
        <v>26</v>
      </c>
      <c r="G2545" s="624"/>
      <c r="O2545" s="616"/>
      <c r="P2545" s="616"/>
      <c r="Q2545" s="616"/>
      <c r="AA2545" s="624"/>
      <c r="AB2545" s="663">
        <v>39151711202</v>
      </c>
      <c r="AC2545" s="663" t="s">
        <v>7477</v>
      </c>
      <c r="AD2545" s="663" t="s">
        <v>4941</v>
      </c>
      <c r="AE2545" s="663" t="s">
        <v>4939</v>
      </c>
      <c r="AF2545" s="663" t="s">
        <v>4929</v>
      </c>
    </row>
    <row r="2546" spans="1:32" s="608" customFormat="1" x14ac:dyDescent="0.25">
      <c r="A2546" s="624"/>
      <c r="B2546" s="617">
        <v>39133600302</v>
      </c>
      <c r="C2546" s="617" t="s">
        <v>4214</v>
      </c>
      <c r="D2546" s="617" t="s">
        <v>90</v>
      </c>
      <c r="E2546" s="617" t="s">
        <v>4860</v>
      </c>
      <c r="F2546" s="617" t="s">
        <v>26</v>
      </c>
      <c r="G2546" s="624"/>
      <c r="O2546" s="616"/>
      <c r="P2546" s="616"/>
      <c r="Q2546" s="616"/>
      <c r="AA2546" s="624"/>
      <c r="AB2546" s="663">
        <v>39151711211</v>
      </c>
      <c r="AC2546" s="663" t="s">
        <v>7478</v>
      </c>
      <c r="AD2546" s="663" t="s">
        <v>4948</v>
      </c>
      <c r="AE2546" s="663" t="s">
        <v>4939</v>
      </c>
      <c r="AF2546" s="663" t="s">
        <v>4946</v>
      </c>
    </row>
    <row r="2547" spans="1:32" s="608" customFormat="1" x14ac:dyDescent="0.25">
      <c r="A2547" s="624"/>
      <c r="B2547" s="617">
        <v>39133600303</v>
      </c>
      <c r="C2547" s="617" t="s">
        <v>4215</v>
      </c>
      <c r="D2547" s="617" t="s">
        <v>90</v>
      </c>
      <c r="E2547" s="617" t="s">
        <v>4860</v>
      </c>
      <c r="F2547" s="617" t="s">
        <v>26</v>
      </c>
      <c r="G2547" s="624"/>
      <c r="O2547" s="616"/>
      <c r="P2547" s="616"/>
      <c r="Q2547" s="616"/>
      <c r="AA2547" s="624"/>
      <c r="AB2547" s="663">
        <v>39151711212</v>
      </c>
      <c r="AC2547" s="663" t="s">
        <v>7479</v>
      </c>
      <c r="AD2547" s="663" t="s">
        <v>4948</v>
      </c>
      <c r="AE2547" s="663" t="s">
        <v>4939</v>
      </c>
      <c r="AF2547" s="663" t="s">
        <v>4946</v>
      </c>
    </row>
    <row r="2548" spans="1:32" s="608" customFormat="1" x14ac:dyDescent="0.25">
      <c r="A2548" s="624"/>
      <c r="B2548" s="617">
        <v>39133600304</v>
      </c>
      <c r="C2548" s="617" t="s">
        <v>4216</v>
      </c>
      <c r="D2548" s="617" t="s">
        <v>90</v>
      </c>
      <c r="E2548" s="617" t="s">
        <v>4860</v>
      </c>
      <c r="F2548" s="617" t="s">
        <v>26</v>
      </c>
      <c r="G2548" s="624"/>
      <c r="O2548" s="616"/>
      <c r="P2548" s="616"/>
      <c r="Q2548" s="616"/>
      <c r="AA2548" s="624"/>
      <c r="AB2548" s="663">
        <v>39151711311</v>
      </c>
      <c r="AC2548" s="663" t="s">
        <v>7480</v>
      </c>
      <c r="AD2548" s="663" t="s">
        <v>4941</v>
      </c>
      <c r="AE2548" s="663" t="s">
        <v>4931</v>
      </c>
      <c r="AF2548" s="663" t="s">
        <v>4946</v>
      </c>
    </row>
    <row r="2549" spans="1:32" s="608" customFormat="1" x14ac:dyDescent="0.25">
      <c r="A2549" s="624"/>
      <c r="B2549" s="617">
        <v>39133600401</v>
      </c>
      <c r="C2549" s="617" t="s">
        <v>4217</v>
      </c>
      <c r="D2549" s="617" t="s">
        <v>90</v>
      </c>
      <c r="E2549" s="617" t="s">
        <v>4860</v>
      </c>
      <c r="F2549" s="617" t="s">
        <v>26</v>
      </c>
      <c r="G2549" s="624"/>
      <c r="O2549" s="616"/>
      <c r="P2549" s="616"/>
      <c r="Q2549" s="616"/>
      <c r="AA2549" s="624"/>
      <c r="AB2549" s="663">
        <v>39151711312</v>
      </c>
      <c r="AC2549" s="663" t="s">
        <v>7481</v>
      </c>
      <c r="AD2549" s="663" t="s">
        <v>4941</v>
      </c>
      <c r="AE2549" s="663" t="s">
        <v>4942</v>
      </c>
      <c r="AF2549" s="663" t="s">
        <v>4946</v>
      </c>
    </row>
    <row r="2550" spans="1:32" s="608" customFormat="1" x14ac:dyDescent="0.25">
      <c r="A2550" s="624"/>
      <c r="B2550" s="617">
        <v>39133600402</v>
      </c>
      <c r="C2550" s="617" t="s">
        <v>4218</v>
      </c>
      <c r="D2550" s="617" t="s">
        <v>90</v>
      </c>
      <c r="E2550" s="617" t="s">
        <v>4860</v>
      </c>
      <c r="F2550" s="617" t="s">
        <v>26</v>
      </c>
      <c r="G2550" s="624"/>
      <c r="O2550" s="616"/>
      <c r="P2550" s="616"/>
      <c r="Q2550" s="616"/>
      <c r="AA2550" s="624"/>
      <c r="AB2550" s="663">
        <v>39151711321</v>
      </c>
      <c r="AC2550" s="663" t="s">
        <v>7482</v>
      </c>
      <c r="AD2550" s="663" t="s">
        <v>4938</v>
      </c>
      <c r="AE2550" s="663" t="s">
        <v>4928</v>
      </c>
      <c r="AF2550" s="663" t="s">
        <v>4946</v>
      </c>
    </row>
    <row r="2551" spans="1:32" s="608" customFormat="1" x14ac:dyDescent="0.25">
      <c r="A2551" s="624"/>
      <c r="B2551" s="617">
        <v>39133600403</v>
      </c>
      <c r="C2551" s="617" t="s">
        <v>4219</v>
      </c>
      <c r="D2551" s="617" t="s">
        <v>90</v>
      </c>
      <c r="E2551" s="617" t="s">
        <v>4860</v>
      </c>
      <c r="F2551" s="617" t="s">
        <v>26</v>
      </c>
      <c r="G2551" s="624"/>
      <c r="O2551" s="616"/>
      <c r="P2551" s="616"/>
      <c r="Q2551" s="616"/>
      <c r="AA2551" s="624"/>
      <c r="AB2551" s="663">
        <v>39151711322</v>
      </c>
      <c r="AC2551" s="663" t="s">
        <v>7483</v>
      </c>
      <c r="AD2551" s="663" t="s">
        <v>4938</v>
      </c>
      <c r="AE2551" s="663" t="s">
        <v>4942</v>
      </c>
      <c r="AF2551" s="663" t="s">
        <v>4946</v>
      </c>
    </row>
    <row r="2552" spans="1:32" s="608" customFormat="1" x14ac:dyDescent="0.25">
      <c r="A2552" s="624"/>
      <c r="B2552" s="617">
        <v>39133600500</v>
      </c>
      <c r="C2552" s="617" t="s">
        <v>4220</v>
      </c>
      <c r="D2552" s="617" t="s">
        <v>90</v>
      </c>
      <c r="E2552" s="617" t="s">
        <v>4860</v>
      </c>
      <c r="F2552" s="617" t="s">
        <v>26</v>
      </c>
      <c r="G2552" s="624"/>
      <c r="O2552" s="616"/>
      <c r="P2552" s="616"/>
      <c r="Q2552" s="616"/>
      <c r="AA2552" s="624"/>
      <c r="AB2552" s="663">
        <v>39151711402</v>
      </c>
      <c r="AC2552" s="663" t="s">
        <v>7484</v>
      </c>
      <c r="AD2552" s="663" t="s">
        <v>4941</v>
      </c>
      <c r="AE2552" s="663" t="s">
        <v>4942</v>
      </c>
      <c r="AF2552" s="663" t="s">
        <v>4946</v>
      </c>
    </row>
    <row r="2553" spans="1:32" s="608" customFormat="1" x14ac:dyDescent="0.25">
      <c r="A2553" s="624"/>
      <c r="B2553" s="617">
        <v>39133600602</v>
      </c>
      <c r="C2553" s="617" t="s">
        <v>4221</v>
      </c>
      <c r="D2553" s="617" t="s">
        <v>90</v>
      </c>
      <c r="E2553" s="617" t="s">
        <v>4860</v>
      </c>
      <c r="F2553" s="617" t="s">
        <v>26</v>
      </c>
      <c r="G2553" s="624"/>
      <c r="O2553" s="616"/>
      <c r="P2553" s="616"/>
      <c r="Q2553" s="616"/>
      <c r="AA2553" s="624"/>
      <c r="AB2553" s="663">
        <v>39151711411</v>
      </c>
      <c r="AC2553" s="663" t="s">
        <v>7485</v>
      </c>
      <c r="AD2553" s="663" t="s">
        <v>4941</v>
      </c>
      <c r="AE2553" s="663" t="s">
        <v>4934</v>
      </c>
      <c r="AF2553" s="663" t="s">
        <v>4946</v>
      </c>
    </row>
    <row r="2554" spans="1:32" s="608" customFormat="1" x14ac:dyDescent="0.25">
      <c r="A2554" s="624"/>
      <c r="B2554" s="617">
        <v>39133600603</v>
      </c>
      <c r="C2554" s="617" t="s">
        <v>4222</v>
      </c>
      <c r="D2554" s="617" t="s">
        <v>90</v>
      </c>
      <c r="E2554" s="617" t="s">
        <v>4860</v>
      </c>
      <c r="F2554" s="617" t="s">
        <v>26</v>
      </c>
      <c r="G2554" s="624"/>
      <c r="O2554" s="616"/>
      <c r="P2554" s="616"/>
      <c r="Q2554" s="616"/>
      <c r="AA2554" s="624"/>
      <c r="AB2554" s="663">
        <v>39151711412</v>
      </c>
      <c r="AC2554" s="663" t="s">
        <v>7486</v>
      </c>
      <c r="AD2554" s="663" t="s">
        <v>4948</v>
      </c>
      <c r="AE2554" s="663" t="s">
        <v>4928</v>
      </c>
      <c r="AF2554" s="663" t="s">
        <v>4946</v>
      </c>
    </row>
    <row r="2555" spans="1:32" s="608" customFormat="1" x14ac:dyDescent="0.25">
      <c r="A2555" s="624"/>
      <c r="B2555" s="617">
        <v>39133600703</v>
      </c>
      <c r="C2555" s="617" t="s">
        <v>4223</v>
      </c>
      <c r="D2555" s="617" t="s">
        <v>90</v>
      </c>
      <c r="E2555" s="617" t="s">
        <v>4860</v>
      </c>
      <c r="F2555" s="617" t="s">
        <v>26</v>
      </c>
      <c r="G2555" s="624"/>
      <c r="O2555" s="616"/>
      <c r="P2555" s="616"/>
      <c r="Q2555" s="616"/>
      <c r="AA2555" s="624"/>
      <c r="AB2555" s="663">
        <v>39151711501</v>
      </c>
      <c r="AC2555" s="663" t="s">
        <v>7487</v>
      </c>
      <c r="AD2555" s="663" t="s">
        <v>4941</v>
      </c>
      <c r="AE2555" s="663" t="s">
        <v>4931</v>
      </c>
      <c r="AF2555" s="663" t="s">
        <v>4946</v>
      </c>
    </row>
    <row r="2556" spans="1:32" s="608" customFormat="1" x14ac:dyDescent="0.25">
      <c r="A2556" s="624"/>
      <c r="B2556" s="617">
        <v>39133600704</v>
      </c>
      <c r="C2556" s="617" t="s">
        <v>4224</v>
      </c>
      <c r="D2556" s="617" t="s">
        <v>90</v>
      </c>
      <c r="E2556" s="617" t="s">
        <v>4860</v>
      </c>
      <c r="F2556" s="617" t="s">
        <v>26</v>
      </c>
      <c r="G2556" s="624"/>
      <c r="O2556" s="616"/>
      <c r="P2556" s="616"/>
      <c r="Q2556" s="616"/>
      <c r="AA2556" s="624"/>
      <c r="AB2556" s="663">
        <v>39151711502</v>
      </c>
      <c r="AC2556" s="663" t="s">
        <v>7488</v>
      </c>
      <c r="AD2556" s="663" t="s">
        <v>4941</v>
      </c>
      <c r="AE2556" s="663" t="s">
        <v>4928</v>
      </c>
      <c r="AF2556" s="663" t="s">
        <v>4946</v>
      </c>
    </row>
    <row r="2557" spans="1:32" s="608" customFormat="1" x14ac:dyDescent="0.25">
      <c r="A2557" s="624"/>
      <c r="B2557" s="617">
        <v>39133600705</v>
      </c>
      <c r="C2557" s="617" t="s">
        <v>4225</v>
      </c>
      <c r="D2557" s="617" t="s">
        <v>90</v>
      </c>
      <c r="E2557" s="617" t="s">
        <v>4860</v>
      </c>
      <c r="F2557" s="617" t="s">
        <v>26</v>
      </c>
      <c r="G2557" s="624"/>
      <c r="O2557" s="616"/>
      <c r="P2557" s="616"/>
      <c r="Q2557" s="616"/>
      <c r="AA2557" s="624"/>
      <c r="AB2557" s="663">
        <v>39151711600</v>
      </c>
      <c r="AC2557" s="663" t="s">
        <v>7489</v>
      </c>
      <c r="AD2557" s="663" t="s">
        <v>4948</v>
      </c>
      <c r="AE2557" s="663" t="s">
        <v>4942</v>
      </c>
      <c r="AF2557" s="663" t="s">
        <v>4946</v>
      </c>
    </row>
    <row r="2558" spans="1:32" s="608" customFormat="1" x14ac:dyDescent="0.25">
      <c r="A2558" s="624"/>
      <c r="B2558" s="617">
        <v>39133600706</v>
      </c>
      <c r="C2558" s="617" t="s">
        <v>4226</v>
      </c>
      <c r="D2558" s="617" t="s">
        <v>90</v>
      </c>
      <c r="E2558" s="617" t="s">
        <v>4860</v>
      </c>
      <c r="F2558" s="617" t="s">
        <v>26</v>
      </c>
      <c r="G2558" s="624"/>
      <c r="O2558" s="616"/>
      <c r="P2558" s="616"/>
      <c r="Q2558" s="616"/>
      <c r="AA2558" s="624"/>
      <c r="AB2558" s="663">
        <v>39151711700</v>
      </c>
      <c r="AC2558" s="663" t="s">
        <v>7490</v>
      </c>
      <c r="AD2558" s="663" t="s">
        <v>4938</v>
      </c>
      <c r="AE2558" s="663" t="s">
        <v>4928</v>
      </c>
      <c r="AF2558" s="663" t="s">
        <v>4962</v>
      </c>
    </row>
    <row r="2559" spans="1:32" s="608" customFormat="1" x14ac:dyDescent="0.25">
      <c r="A2559" s="624"/>
      <c r="B2559" s="617">
        <v>39133600800</v>
      </c>
      <c r="C2559" s="617" t="s">
        <v>4227</v>
      </c>
      <c r="D2559" s="617" t="s">
        <v>90</v>
      </c>
      <c r="E2559" s="617" t="s">
        <v>4860</v>
      </c>
      <c r="F2559" s="617" t="s">
        <v>26</v>
      </c>
      <c r="G2559" s="624"/>
      <c r="O2559" s="616"/>
      <c r="P2559" s="616"/>
      <c r="Q2559" s="616"/>
      <c r="AA2559" s="624"/>
      <c r="AB2559" s="663">
        <v>39151711800</v>
      </c>
      <c r="AC2559" s="663" t="s">
        <v>7491</v>
      </c>
      <c r="AD2559" s="663" t="s">
        <v>4941</v>
      </c>
      <c r="AE2559" s="663" t="s">
        <v>4934</v>
      </c>
      <c r="AF2559" s="663" t="s">
        <v>4946</v>
      </c>
    </row>
    <row r="2560" spans="1:32" s="608" customFormat="1" x14ac:dyDescent="0.25">
      <c r="A2560" s="624"/>
      <c r="B2560" s="617">
        <v>39133600901</v>
      </c>
      <c r="C2560" s="617" t="s">
        <v>4228</v>
      </c>
      <c r="D2560" s="617" t="s">
        <v>90</v>
      </c>
      <c r="E2560" s="617" t="s">
        <v>4860</v>
      </c>
      <c r="F2560" s="617" t="s">
        <v>26</v>
      </c>
      <c r="G2560" s="624"/>
      <c r="O2560" s="616"/>
      <c r="P2560" s="616"/>
      <c r="Q2560" s="616"/>
      <c r="AA2560" s="624"/>
      <c r="AB2560" s="663">
        <v>39151711900</v>
      </c>
      <c r="AC2560" s="663" t="s">
        <v>7492</v>
      </c>
      <c r="AD2560" s="663" t="s">
        <v>4941</v>
      </c>
      <c r="AE2560" s="663" t="s">
        <v>4934</v>
      </c>
      <c r="AF2560" s="663" t="s">
        <v>4946</v>
      </c>
    </row>
    <row r="2561" spans="1:32" s="608" customFormat="1" x14ac:dyDescent="0.25">
      <c r="A2561" s="624"/>
      <c r="B2561" s="617">
        <v>39133600902</v>
      </c>
      <c r="C2561" s="617" t="s">
        <v>4229</v>
      </c>
      <c r="D2561" s="617" t="s">
        <v>90</v>
      </c>
      <c r="E2561" s="617" t="s">
        <v>4860</v>
      </c>
      <c r="F2561" s="617" t="s">
        <v>26</v>
      </c>
      <c r="G2561" s="624"/>
      <c r="O2561" s="616"/>
      <c r="P2561" s="616"/>
      <c r="Q2561" s="616"/>
      <c r="AA2561" s="624"/>
      <c r="AB2561" s="663">
        <v>39151712000</v>
      </c>
      <c r="AC2561" s="663" t="s">
        <v>7493</v>
      </c>
      <c r="AD2561" s="663" t="s">
        <v>4941</v>
      </c>
      <c r="AE2561" s="663" t="s">
        <v>4942</v>
      </c>
      <c r="AF2561" s="663" t="s">
        <v>4946</v>
      </c>
    </row>
    <row r="2562" spans="1:32" s="608" customFormat="1" x14ac:dyDescent="0.25">
      <c r="A2562" s="624"/>
      <c r="B2562" s="617">
        <v>39133601000</v>
      </c>
      <c r="C2562" s="617" t="s">
        <v>4230</v>
      </c>
      <c r="D2562" s="617" t="s">
        <v>90</v>
      </c>
      <c r="E2562" s="617" t="s">
        <v>4860</v>
      </c>
      <c r="F2562" s="617" t="s">
        <v>26</v>
      </c>
      <c r="G2562" s="624"/>
      <c r="O2562" s="616"/>
      <c r="P2562" s="616"/>
      <c r="Q2562" s="616"/>
      <c r="AA2562" s="624"/>
      <c r="AB2562" s="663">
        <v>39151712102</v>
      </c>
      <c r="AC2562" s="663" t="s">
        <v>7494</v>
      </c>
      <c r="AD2562" s="663" t="s">
        <v>4948</v>
      </c>
      <c r="AE2562" s="663" t="s">
        <v>4939</v>
      </c>
      <c r="AF2562" s="663" t="s">
        <v>4946</v>
      </c>
    </row>
    <row r="2563" spans="1:32" s="608" customFormat="1" x14ac:dyDescent="0.25">
      <c r="A2563" s="624"/>
      <c r="B2563" s="617">
        <v>39133601100</v>
      </c>
      <c r="C2563" s="617" t="s">
        <v>4231</v>
      </c>
      <c r="D2563" s="617" t="s">
        <v>90</v>
      </c>
      <c r="E2563" s="617" t="s">
        <v>4860</v>
      </c>
      <c r="F2563" s="617" t="s">
        <v>26</v>
      </c>
      <c r="G2563" s="624"/>
      <c r="O2563" s="616"/>
      <c r="P2563" s="616"/>
      <c r="Q2563" s="616"/>
      <c r="AA2563" s="624"/>
      <c r="AB2563" s="663">
        <v>39151712111</v>
      </c>
      <c r="AC2563" s="663" t="s">
        <v>7495</v>
      </c>
      <c r="AD2563" s="663" t="s">
        <v>4938</v>
      </c>
      <c r="AE2563" s="663" t="s">
        <v>4934</v>
      </c>
      <c r="AF2563" s="663" t="s">
        <v>4946</v>
      </c>
    </row>
    <row r="2564" spans="1:32" s="608" customFormat="1" x14ac:dyDescent="0.25">
      <c r="A2564" s="624"/>
      <c r="B2564" s="617">
        <v>39133601200</v>
      </c>
      <c r="C2564" s="617" t="s">
        <v>4232</v>
      </c>
      <c r="D2564" s="617" t="s">
        <v>90</v>
      </c>
      <c r="E2564" s="617" t="s">
        <v>4860</v>
      </c>
      <c r="F2564" s="617" t="s">
        <v>24</v>
      </c>
      <c r="G2564" s="624"/>
      <c r="O2564" s="616"/>
      <c r="P2564" s="616"/>
      <c r="Q2564" s="616"/>
      <c r="AA2564" s="624"/>
      <c r="AB2564" s="663">
        <v>39151712112</v>
      </c>
      <c r="AC2564" s="663" t="s">
        <v>7496</v>
      </c>
      <c r="AD2564" s="663" t="s">
        <v>4941</v>
      </c>
      <c r="AE2564" s="663" t="s">
        <v>4942</v>
      </c>
      <c r="AF2564" s="663" t="s">
        <v>4946</v>
      </c>
    </row>
    <row r="2565" spans="1:32" s="608" customFormat="1" x14ac:dyDescent="0.25">
      <c r="A2565" s="624"/>
      <c r="B2565" s="617">
        <v>39133601300</v>
      </c>
      <c r="C2565" s="617" t="s">
        <v>4233</v>
      </c>
      <c r="D2565" s="617" t="s">
        <v>90</v>
      </c>
      <c r="E2565" s="617" t="s">
        <v>4860</v>
      </c>
      <c r="F2565" s="617" t="s">
        <v>26</v>
      </c>
      <c r="G2565" s="624"/>
      <c r="O2565" s="616"/>
      <c r="P2565" s="616"/>
      <c r="Q2565" s="616"/>
      <c r="AA2565" s="624"/>
      <c r="AB2565" s="663">
        <v>39151712201</v>
      </c>
      <c r="AC2565" s="663" t="s">
        <v>7497</v>
      </c>
      <c r="AD2565" s="663" t="s">
        <v>4941</v>
      </c>
      <c r="AE2565" s="663" t="s">
        <v>4934</v>
      </c>
      <c r="AF2565" s="663" t="s">
        <v>4946</v>
      </c>
    </row>
    <row r="2566" spans="1:32" s="608" customFormat="1" x14ac:dyDescent="0.25">
      <c r="A2566" s="624"/>
      <c r="B2566" s="617">
        <v>39133601400</v>
      </c>
      <c r="C2566" s="617" t="s">
        <v>4234</v>
      </c>
      <c r="D2566" s="617" t="s">
        <v>90</v>
      </c>
      <c r="E2566" s="617" t="s">
        <v>4860</v>
      </c>
      <c r="F2566" s="617" t="s">
        <v>26</v>
      </c>
      <c r="G2566" s="624"/>
      <c r="O2566" s="616"/>
      <c r="P2566" s="616"/>
      <c r="Q2566" s="616"/>
      <c r="AA2566" s="624"/>
      <c r="AB2566" s="663">
        <v>39151712202</v>
      </c>
      <c r="AC2566" s="663" t="s">
        <v>7498</v>
      </c>
      <c r="AD2566" s="663" t="s">
        <v>4941</v>
      </c>
      <c r="AE2566" s="663" t="s">
        <v>4928</v>
      </c>
      <c r="AF2566" s="663" t="s">
        <v>4946</v>
      </c>
    </row>
    <row r="2567" spans="1:32" s="608" customFormat="1" x14ac:dyDescent="0.25">
      <c r="A2567" s="624"/>
      <c r="B2567" s="617">
        <v>39133601501</v>
      </c>
      <c r="C2567" s="617" t="s">
        <v>4235</v>
      </c>
      <c r="D2567" s="617" t="s">
        <v>90</v>
      </c>
      <c r="E2567" s="617" t="s">
        <v>4860</v>
      </c>
      <c r="F2567" s="617" t="s">
        <v>24</v>
      </c>
      <c r="G2567" s="624"/>
      <c r="O2567" s="616"/>
      <c r="P2567" s="616"/>
      <c r="Q2567" s="616"/>
      <c r="AA2567" s="624"/>
      <c r="AB2567" s="663">
        <v>39151712300</v>
      </c>
      <c r="AC2567" s="663" t="s">
        <v>7499</v>
      </c>
      <c r="AD2567" s="663" t="s">
        <v>4948</v>
      </c>
      <c r="AE2567" s="663" t="s">
        <v>4942</v>
      </c>
      <c r="AF2567" s="663" t="s">
        <v>4946</v>
      </c>
    </row>
    <row r="2568" spans="1:32" s="608" customFormat="1" x14ac:dyDescent="0.25">
      <c r="A2568" s="624"/>
      <c r="B2568" s="617">
        <v>39133601502</v>
      </c>
      <c r="C2568" s="617" t="s">
        <v>4236</v>
      </c>
      <c r="D2568" s="617" t="s">
        <v>90</v>
      </c>
      <c r="E2568" s="617" t="s">
        <v>4860</v>
      </c>
      <c r="F2568" s="617" t="s">
        <v>24</v>
      </c>
      <c r="G2568" s="624"/>
      <c r="O2568" s="616"/>
      <c r="P2568" s="616"/>
      <c r="Q2568" s="616"/>
      <c r="AA2568" s="624"/>
      <c r="AB2568" s="663">
        <v>39151712400</v>
      </c>
      <c r="AC2568" s="663" t="s">
        <v>7500</v>
      </c>
      <c r="AD2568" s="663" t="s">
        <v>4950</v>
      </c>
      <c r="AE2568" s="663" t="s">
        <v>4931</v>
      </c>
      <c r="AF2568" s="663" t="s">
        <v>4946</v>
      </c>
    </row>
    <row r="2569" spans="1:32" s="608" customFormat="1" x14ac:dyDescent="0.25">
      <c r="A2569" s="624"/>
      <c r="B2569" s="617">
        <v>39133601503</v>
      </c>
      <c r="C2569" s="617" t="s">
        <v>4237</v>
      </c>
      <c r="D2569" s="617" t="s">
        <v>90</v>
      </c>
      <c r="E2569" s="617" t="s">
        <v>4860</v>
      </c>
      <c r="F2569" s="617" t="s">
        <v>24</v>
      </c>
      <c r="G2569" s="624"/>
      <c r="O2569" s="616"/>
      <c r="P2569" s="616"/>
      <c r="Q2569" s="616"/>
      <c r="AA2569" s="624"/>
      <c r="AB2569" s="663">
        <v>39151712500</v>
      </c>
      <c r="AC2569" s="663" t="s">
        <v>7501</v>
      </c>
      <c r="AD2569" s="663" t="s">
        <v>4948</v>
      </c>
      <c r="AE2569" s="663" t="s">
        <v>4939</v>
      </c>
      <c r="AF2569" s="663" t="s">
        <v>4946</v>
      </c>
    </row>
    <row r="2570" spans="1:32" s="608" customFormat="1" x14ac:dyDescent="0.25">
      <c r="A2570" s="624"/>
      <c r="B2570" s="617">
        <v>39133601600</v>
      </c>
      <c r="C2570" s="617" t="s">
        <v>4238</v>
      </c>
      <c r="D2570" s="617" t="s">
        <v>90</v>
      </c>
      <c r="E2570" s="617" t="s">
        <v>4860</v>
      </c>
      <c r="F2570" s="617" t="s">
        <v>26</v>
      </c>
      <c r="G2570" s="624"/>
      <c r="O2570" s="616"/>
      <c r="P2570" s="616"/>
      <c r="Q2570" s="616"/>
      <c r="AA2570" s="624"/>
      <c r="AB2570" s="663">
        <v>39151712601</v>
      </c>
      <c r="AC2570" s="663" t="s">
        <v>7502</v>
      </c>
      <c r="AD2570" s="663" t="s">
        <v>4948</v>
      </c>
      <c r="AE2570" s="663" t="s">
        <v>4931</v>
      </c>
      <c r="AF2570" s="663" t="s">
        <v>4946</v>
      </c>
    </row>
    <row r="2571" spans="1:32" s="608" customFormat="1" x14ac:dyDescent="0.25">
      <c r="A2571" s="624"/>
      <c r="B2571" s="617">
        <v>39133601702</v>
      </c>
      <c r="C2571" s="617" t="s">
        <v>4239</v>
      </c>
      <c r="D2571" s="617" t="s">
        <v>90</v>
      </c>
      <c r="E2571" s="617" t="s">
        <v>4860</v>
      </c>
      <c r="F2571" s="617" t="s">
        <v>26</v>
      </c>
      <c r="G2571" s="624"/>
      <c r="O2571" s="616"/>
      <c r="P2571" s="616"/>
      <c r="Q2571" s="616"/>
      <c r="AA2571" s="624"/>
      <c r="AB2571" s="663">
        <v>39151712602</v>
      </c>
      <c r="AC2571" s="663" t="s">
        <v>7503</v>
      </c>
      <c r="AD2571" s="663" t="s">
        <v>4950</v>
      </c>
      <c r="AE2571" s="663" t="s">
        <v>4934</v>
      </c>
      <c r="AF2571" s="663" t="s">
        <v>4946</v>
      </c>
    </row>
    <row r="2572" spans="1:32" s="608" customFormat="1" x14ac:dyDescent="0.25">
      <c r="A2572" s="624"/>
      <c r="B2572" s="617">
        <v>39133601703</v>
      </c>
      <c r="C2572" s="617" t="s">
        <v>4240</v>
      </c>
      <c r="D2572" s="617" t="s">
        <v>90</v>
      </c>
      <c r="E2572" s="617" t="s">
        <v>4860</v>
      </c>
      <c r="F2572" s="617" t="s">
        <v>26</v>
      </c>
      <c r="G2572" s="624"/>
      <c r="O2572" s="616"/>
      <c r="P2572" s="616"/>
      <c r="Q2572" s="616"/>
      <c r="AA2572" s="624"/>
      <c r="AB2572" s="663">
        <v>39151712700</v>
      </c>
      <c r="AC2572" s="663" t="s">
        <v>7504</v>
      </c>
      <c r="AD2572" s="663" t="s">
        <v>4941</v>
      </c>
      <c r="AE2572" s="663" t="s">
        <v>4931</v>
      </c>
      <c r="AF2572" s="663" t="s">
        <v>4929</v>
      </c>
    </row>
    <row r="2573" spans="1:32" s="608" customFormat="1" x14ac:dyDescent="0.25">
      <c r="A2573" s="624"/>
      <c r="B2573" s="617">
        <v>39133601704</v>
      </c>
      <c r="C2573" s="617" t="s">
        <v>4241</v>
      </c>
      <c r="D2573" s="617" t="s">
        <v>90</v>
      </c>
      <c r="E2573" s="617" t="s">
        <v>4860</v>
      </c>
      <c r="F2573" s="617" t="s">
        <v>26</v>
      </c>
      <c r="G2573" s="624"/>
      <c r="O2573" s="616"/>
      <c r="P2573" s="616"/>
      <c r="Q2573" s="616"/>
      <c r="AA2573" s="624"/>
      <c r="AB2573" s="663">
        <v>39151712800</v>
      </c>
      <c r="AC2573" s="663" t="s">
        <v>7505</v>
      </c>
      <c r="AD2573" s="663" t="s">
        <v>4941</v>
      </c>
      <c r="AE2573" s="663" t="s">
        <v>4931</v>
      </c>
      <c r="AF2573" s="663" t="s">
        <v>4929</v>
      </c>
    </row>
    <row r="2574" spans="1:32" s="608" customFormat="1" x14ac:dyDescent="0.25">
      <c r="A2574" s="624"/>
      <c r="B2574" s="617">
        <v>39133601801</v>
      </c>
      <c r="C2574" s="617" t="s">
        <v>4242</v>
      </c>
      <c r="D2574" s="617" t="s">
        <v>90</v>
      </c>
      <c r="E2574" s="617" t="s">
        <v>4860</v>
      </c>
      <c r="F2574" s="617" t="s">
        <v>26</v>
      </c>
      <c r="G2574" s="624"/>
      <c r="O2574" s="616"/>
      <c r="P2574" s="616"/>
      <c r="Q2574" s="616"/>
      <c r="AA2574" s="624"/>
      <c r="AB2574" s="663">
        <v>39151712900</v>
      </c>
      <c r="AC2574" s="663" t="s">
        <v>7506</v>
      </c>
      <c r="AD2574" s="663" t="s">
        <v>4950</v>
      </c>
      <c r="AE2574" s="663" t="s">
        <v>4942</v>
      </c>
      <c r="AF2574" s="663" t="s">
        <v>4929</v>
      </c>
    </row>
    <row r="2575" spans="1:32" s="608" customFormat="1" x14ac:dyDescent="0.25">
      <c r="A2575" s="624"/>
      <c r="B2575" s="617">
        <v>39133601802</v>
      </c>
      <c r="C2575" s="617" t="s">
        <v>4243</v>
      </c>
      <c r="D2575" s="617" t="s">
        <v>90</v>
      </c>
      <c r="E2575" s="617" t="s">
        <v>4860</v>
      </c>
      <c r="F2575" s="617" t="s">
        <v>26</v>
      </c>
      <c r="G2575" s="624"/>
      <c r="O2575" s="616"/>
      <c r="P2575" s="616"/>
      <c r="Q2575" s="616"/>
      <c r="AA2575" s="624"/>
      <c r="AB2575" s="663">
        <v>39151713000</v>
      </c>
      <c r="AC2575" s="663" t="s">
        <v>7507</v>
      </c>
      <c r="AD2575" s="663" t="s">
        <v>4948</v>
      </c>
      <c r="AE2575" s="663" t="s">
        <v>4934</v>
      </c>
      <c r="AF2575" s="663" t="s">
        <v>4929</v>
      </c>
    </row>
    <row r="2576" spans="1:32" s="608" customFormat="1" x14ac:dyDescent="0.25">
      <c r="A2576" s="624"/>
      <c r="B2576" s="617">
        <v>39133601901</v>
      </c>
      <c r="C2576" s="617" t="s">
        <v>4244</v>
      </c>
      <c r="D2576" s="617" t="s">
        <v>90</v>
      </c>
      <c r="E2576" s="617" t="s">
        <v>4860</v>
      </c>
      <c r="F2576" s="617" t="s">
        <v>26</v>
      </c>
      <c r="G2576" s="624"/>
      <c r="O2576" s="616"/>
      <c r="P2576" s="616"/>
      <c r="Q2576" s="616"/>
      <c r="AA2576" s="624"/>
      <c r="AB2576" s="663">
        <v>39151713100</v>
      </c>
      <c r="AC2576" s="663" t="s">
        <v>7508</v>
      </c>
      <c r="AD2576" s="663" t="s">
        <v>4950</v>
      </c>
      <c r="AE2576" s="663" t="s">
        <v>4934</v>
      </c>
      <c r="AF2576" s="663" t="s">
        <v>4946</v>
      </c>
    </row>
    <row r="2577" spans="1:32" s="608" customFormat="1" x14ac:dyDescent="0.25">
      <c r="A2577" s="624"/>
      <c r="B2577" s="617">
        <v>39133601902</v>
      </c>
      <c r="C2577" s="617" t="s">
        <v>4245</v>
      </c>
      <c r="D2577" s="617" t="s">
        <v>90</v>
      </c>
      <c r="E2577" s="617" t="s">
        <v>4860</v>
      </c>
      <c r="F2577" s="617" t="s">
        <v>26</v>
      </c>
      <c r="G2577" s="624"/>
      <c r="O2577" s="616"/>
      <c r="P2577" s="616"/>
      <c r="Q2577" s="616"/>
      <c r="AA2577" s="624"/>
      <c r="AB2577" s="663">
        <v>39151713201</v>
      </c>
      <c r="AC2577" s="663" t="s">
        <v>7509</v>
      </c>
      <c r="AD2577" s="663" t="s">
        <v>4941</v>
      </c>
      <c r="AE2577" s="663" t="s">
        <v>4942</v>
      </c>
      <c r="AF2577" s="663" t="s">
        <v>4929</v>
      </c>
    </row>
    <row r="2578" spans="1:32" s="608" customFormat="1" x14ac:dyDescent="0.25">
      <c r="A2578" s="624"/>
      <c r="B2578" s="617">
        <v>39133602000</v>
      </c>
      <c r="C2578" s="617" t="s">
        <v>4246</v>
      </c>
      <c r="D2578" s="617" t="s">
        <v>90</v>
      </c>
      <c r="E2578" s="617" t="s">
        <v>4860</v>
      </c>
      <c r="F2578" s="617" t="s">
        <v>26</v>
      </c>
      <c r="G2578" s="624"/>
      <c r="O2578" s="616"/>
      <c r="P2578" s="616"/>
      <c r="Q2578" s="616"/>
      <c r="AA2578" s="624"/>
      <c r="AB2578" s="663">
        <v>39151713202</v>
      </c>
      <c r="AC2578" s="663" t="s">
        <v>7510</v>
      </c>
      <c r="AD2578" s="663" t="s">
        <v>4950</v>
      </c>
      <c r="AE2578" s="663" t="s">
        <v>4942</v>
      </c>
      <c r="AF2578" s="663" t="s">
        <v>4946</v>
      </c>
    </row>
    <row r="2579" spans="1:32" s="608" customFormat="1" x14ac:dyDescent="0.25">
      <c r="A2579" s="624"/>
      <c r="B2579" s="617">
        <v>39133602101</v>
      </c>
      <c r="C2579" s="617" t="s">
        <v>4247</v>
      </c>
      <c r="D2579" s="617" t="s">
        <v>90</v>
      </c>
      <c r="E2579" s="617" t="s">
        <v>4860</v>
      </c>
      <c r="F2579" s="617" t="s">
        <v>26</v>
      </c>
      <c r="G2579" s="624"/>
      <c r="O2579" s="616"/>
      <c r="P2579" s="616"/>
      <c r="Q2579" s="616"/>
      <c r="AA2579" s="624"/>
      <c r="AB2579" s="663">
        <v>39151713300</v>
      </c>
      <c r="AC2579" s="663" t="s">
        <v>7511</v>
      </c>
      <c r="AD2579" s="663" t="s">
        <v>4948</v>
      </c>
      <c r="AE2579" s="663" t="s">
        <v>4931</v>
      </c>
      <c r="AF2579" s="663" t="s">
        <v>4946</v>
      </c>
    </row>
    <row r="2580" spans="1:32" s="608" customFormat="1" x14ac:dyDescent="0.25">
      <c r="A2580" s="624"/>
      <c r="B2580" s="617">
        <v>39133602102</v>
      </c>
      <c r="C2580" s="617" t="s">
        <v>4248</v>
      </c>
      <c r="D2580" s="617" t="s">
        <v>90</v>
      </c>
      <c r="E2580" s="617" t="s">
        <v>4860</v>
      </c>
      <c r="F2580" s="617" t="s">
        <v>26</v>
      </c>
      <c r="G2580" s="624"/>
      <c r="O2580" s="616"/>
      <c r="P2580" s="616"/>
      <c r="Q2580" s="616"/>
      <c r="AA2580" s="624"/>
      <c r="AB2580" s="663">
        <v>39151713401</v>
      </c>
      <c r="AC2580" s="663" t="s">
        <v>7512</v>
      </c>
      <c r="AD2580" s="663" t="s">
        <v>4950</v>
      </c>
      <c r="AE2580" s="663" t="s">
        <v>4928</v>
      </c>
      <c r="AF2580" s="663" t="s">
        <v>4946</v>
      </c>
    </row>
    <row r="2581" spans="1:32" s="608" customFormat="1" x14ac:dyDescent="0.25">
      <c r="A2581" s="624"/>
      <c r="B2581" s="617">
        <v>39135400100</v>
      </c>
      <c r="C2581" s="617" t="s">
        <v>4249</v>
      </c>
      <c r="D2581" s="617" t="s">
        <v>91</v>
      </c>
      <c r="E2581" s="617" t="s">
        <v>1672</v>
      </c>
      <c r="F2581" s="617" t="s">
        <v>26</v>
      </c>
      <c r="G2581" s="624"/>
      <c r="O2581" s="616"/>
      <c r="P2581" s="616"/>
      <c r="Q2581" s="616"/>
      <c r="AA2581" s="624"/>
      <c r="AB2581" s="663">
        <v>39151713402</v>
      </c>
      <c r="AC2581" s="663" t="s">
        <v>7513</v>
      </c>
      <c r="AD2581" s="663" t="s">
        <v>4948</v>
      </c>
      <c r="AE2581" s="663" t="s">
        <v>4939</v>
      </c>
      <c r="AF2581" s="663" t="s">
        <v>4946</v>
      </c>
    </row>
    <row r="2582" spans="1:32" s="608" customFormat="1" x14ac:dyDescent="0.25">
      <c r="A2582" s="624"/>
      <c r="B2582" s="617">
        <v>39135410100</v>
      </c>
      <c r="C2582" s="617" t="s">
        <v>4250</v>
      </c>
      <c r="D2582" s="617" t="s">
        <v>91</v>
      </c>
      <c r="E2582" s="617" t="s">
        <v>1672</v>
      </c>
      <c r="F2582" s="617" t="s">
        <v>26</v>
      </c>
      <c r="G2582" s="624"/>
      <c r="O2582" s="616"/>
      <c r="P2582" s="616"/>
      <c r="Q2582" s="616"/>
      <c r="AA2582" s="624"/>
      <c r="AB2582" s="663">
        <v>39151713501</v>
      </c>
      <c r="AC2582" s="663" t="s">
        <v>7514</v>
      </c>
      <c r="AD2582" s="663" t="s">
        <v>4948</v>
      </c>
      <c r="AE2582" s="663" t="s">
        <v>4928</v>
      </c>
      <c r="AF2582" s="663" t="s">
        <v>4946</v>
      </c>
    </row>
    <row r="2583" spans="1:32" s="608" customFormat="1" x14ac:dyDescent="0.25">
      <c r="A2583" s="624"/>
      <c r="B2583" s="617">
        <v>39135420100</v>
      </c>
      <c r="C2583" s="617" t="s">
        <v>4251</v>
      </c>
      <c r="D2583" s="617" t="s">
        <v>91</v>
      </c>
      <c r="E2583" s="617" t="s">
        <v>1672</v>
      </c>
      <c r="F2583" s="617" t="s">
        <v>26</v>
      </c>
      <c r="G2583" s="624"/>
      <c r="O2583" s="616"/>
      <c r="P2583" s="616"/>
      <c r="Q2583" s="616"/>
      <c r="AA2583" s="624"/>
      <c r="AB2583" s="663">
        <v>39151713502</v>
      </c>
      <c r="AC2583" s="663" t="s">
        <v>7515</v>
      </c>
      <c r="AD2583" s="663" t="s">
        <v>4950</v>
      </c>
      <c r="AE2583" s="663" t="s">
        <v>4928</v>
      </c>
      <c r="AF2583" s="663" t="s">
        <v>4946</v>
      </c>
    </row>
    <row r="2584" spans="1:32" s="608" customFormat="1" x14ac:dyDescent="0.25">
      <c r="A2584" s="624"/>
      <c r="B2584" s="617">
        <v>39135430100</v>
      </c>
      <c r="C2584" s="617" t="s">
        <v>4252</v>
      </c>
      <c r="D2584" s="617" t="s">
        <v>91</v>
      </c>
      <c r="E2584" s="617" t="s">
        <v>1672</v>
      </c>
      <c r="F2584" s="617" t="s">
        <v>26</v>
      </c>
      <c r="G2584" s="624"/>
      <c r="O2584" s="616"/>
      <c r="P2584" s="616"/>
      <c r="Q2584" s="616"/>
      <c r="AA2584" s="624"/>
      <c r="AB2584" s="663">
        <v>39151713600</v>
      </c>
      <c r="AC2584" s="663" t="s">
        <v>7516</v>
      </c>
      <c r="AD2584" s="663" t="s">
        <v>4941</v>
      </c>
      <c r="AE2584" s="663" t="s">
        <v>4939</v>
      </c>
      <c r="AF2584" s="663" t="s">
        <v>4946</v>
      </c>
    </row>
    <row r="2585" spans="1:32" s="608" customFormat="1" x14ac:dyDescent="0.25">
      <c r="A2585" s="624"/>
      <c r="B2585" s="617">
        <v>39135440100</v>
      </c>
      <c r="C2585" s="617" t="s">
        <v>4253</v>
      </c>
      <c r="D2585" s="617" t="s">
        <v>91</v>
      </c>
      <c r="E2585" s="617" t="s">
        <v>1672</v>
      </c>
      <c r="F2585" s="617" t="s">
        <v>26</v>
      </c>
      <c r="G2585" s="624"/>
      <c r="O2585" s="616"/>
      <c r="P2585" s="616"/>
      <c r="Q2585" s="616"/>
      <c r="AA2585" s="624"/>
      <c r="AB2585" s="663">
        <v>39151713700</v>
      </c>
      <c r="AC2585" s="663" t="s">
        <v>7517</v>
      </c>
      <c r="AD2585" s="663" t="s">
        <v>4950</v>
      </c>
      <c r="AE2585" s="663" t="s">
        <v>4928</v>
      </c>
      <c r="AF2585" s="663" t="s">
        <v>4946</v>
      </c>
    </row>
    <row r="2586" spans="1:32" s="608" customFormat="1" x14ac:dyDescent="0.25">
      <c r="A2586" s="624"/>
      <c r="B2586" s="617">
        <v>39135450100</v>
      </c>
      <c r="C2586" s="617" t="s">
        <v>4254</v>
      </c>
      <c r="D2586" s="617" t="s">
        <v>91</v>
      </c>
      <c r="E2586" s="617" t="s">
        <v>1672</v>
      </c>
      <c r="F2586" s="617" t="s">
        <v>26</v>
      </c>
      <c r="G2586" s="624"/>
      <c r="O2586" s="616"/>
      <c r="P2586" s="616"/>
      <c r="Q2586" s="616"/>
      <c r="AA2586" s="624"/>
      <c r="AB2586" s="663">
        <v>39151713900</v>
      </c>
      <c r="AC2586" s="663" t="s">
        <v>7518</v>
      </c>
      <c r="AD2586" s="663" t="s">
        <v>4927</v>
      </c>
      <c r="AE2586" s="663" t="s">
        <v>4939</v>
      </c>
      <c r="AF2586" s="663" t="s">
        <v>4946</v>
      </c>
    </row>
    <row r="2587" spans="1:32" s="608" customFormat="1" x14ac:dyDescent="0.25">
      <c r="A2587" s="624"/>
      <c r="B2587" s="617">
        <v>39135455001</v>
      </c>
      <c r="C2587" s="617" t="s">
        <v>4255</v>
      </c>
      <c r="D2587" s="617" t="s">
        <v>91</v>
      </c>
      <c r="E2587" s="617" t="s">
        <v>1672</v>
      </c>
      <c r="F2587" s="617" t="s">
        <v>26</v>
      </c>
      <c r="G2587" s="624"/>
      <c r="O2587" s="616"/>
      <c r="P2587" s="616"/>
      <c r="Q2587" s="616"/>
      <c r="AA2587" s="624"/>
      <c r="AB2587" s="663">
        <v>39151714000</v>
      </c>
      <c r="AC2587" s="663" t="s">
        <v>7519</v>
      </c>
      <c r="AD2587" s="663" t="s">
        <v>4950</v>
      </c>
      <c r="AE2587" s="663" t="s">
        <v>4928</v>
      </c>
      <c r="AF2587" s="663" t="s">
        <v>4946</v>
      </c>
    </row>
    <row r="2588" spans="1:32" s="608" customFormat="1" x14ac:dyDescent="0.25">
      <c r="A2588" s="624"/>
      <c r="B2588" s="617">
        <v>39135455002</v>
      </c>
      <c r="C2588" s="617" t="s">
        <v>4256</v>
      </c>
      <c r="D2588" s="617" t="s">
        <v>91</v>
      </c>
      <c r="E2588" s="617" t="s">
        <v>1672</v>
      </c>
      <c r="F2588" s="617" t="s">
        <v>26</v>
      </c>
      <c r="G2588" s="624"/>
      <c r="O2588" s="616"/>
      <c r="P2588" s="616"/>
      <c r="Q2588" s="616"/>
      <c r="AA2588" s="624"/>
      <c r="AB2588" s="663">
        <v>39151714100</v>
      </c>
      <c r="AC2588" s="663" t="s">
        <v>7520</v>
      </c>
      <c r="AD2588" s="663" t="s">
        <v>4950</v>
      </c>
      <c r="AE2588" s="663" t="s">
        <v>4928</v>
      </c>
      <c r="AF2588" s="663" t="s">
        <v>4946</v>
      </c>
    </row>
    <row r="2589" spans="1:32" s="608" customFormat="1" x14ac:dyDescent="0.25">
      <c r="A2589" s="624"/>
      <c r="B2589" s="617">
        <v>39135460100</v>
      </c>
      <c r="C2589" s="617" t="s">
        <v>4257</v>
      </c>
      <c r="D2589" s="617" t="s">
        <v>91</v>
      </c>
      <c r="E2589" s="617" t="s">
        <v>1672</v>
      </c>
      <c r="F2589" s="617" t="s">
        <v>26</v>
      </c>
      <c r="G2589" s="624"/>
      <c r="O2589" s="616"/>
      <c r="P2589" s="616"/>
      <c r="Q2589" s="616"/>
      <c r="AA2589" s="624"/>
      <c r="AB2589" s="663">
        <v>39151714200</v>
      </c>
      <c r="AC2589" s="663" t="s">
        <v>7521</v>
      </c>
      <c r="AD2589" s="663" t="s">
        <v>4927</v>
      </c>
      <c r="AE2589" s="663" t="s">
        <v>4934</v>
      </c>
      <c r="AF2589" s="663" t="s">
        <v>4946</v>
      </c>
    </row>
    <row r="2590" spans="1:32" s="608" customFormat="1" x14ac:dyDescent="0.25">
      <c r="A2590" s="624"/>
      <c r="B2590" s="617">
        <v>39135470101</v>
      </c>
      <c r="C2590" s="617" t="s">
        <v>4258</v>
      </c>
      <c r="D2590" s="617" t="s">
        <v>91</v>
      </c>
      <c r="E2590" s="617" t="s">
        <v>1672</v>
      </c>
      <c r="F2590" s="617" t="s">
        <v>26</v>
      </c>
      <c r="G2590" s="624"/>
      <c r="O2590" s="616"/>
      <c r="P2590" s="616"/>
      <c r="Q2590" s="616"/>
      <c r="AA2590" s="624"/>
      <c r="AB2590" s="663">
        <v>39151714302</v>
      </c>
      <c r="AC2590" s="663" t="s">
        <v>7522</v>
      </c>
      <c r="AD2590" s="663" t="s">
        <v>4950</v>
      </c>
      <c r="AE2590" s="663" t="s">
        <v>4942</v>
      </c>
      <c r="AF2590" s="663" t="s">
        <v>4946</v>
      </c>
    </row>
    <row r="2591" spans="1:32" s="608" customFormat="1" x14ac:dyDescent="0.25">
      <c r="A2591" s="624"/>
      <c r="B2591" s="617">
        <v>39135470102</v>
      </c>
      <c r="C2591" s="617" t="s">
        <v>4259</v>
      </c>
      <c r="D2591" s="617" t="s">
        <v>91</v>
      </c>
      <c r="E2591" s="617" t="s">
        <v>1672</v>
      </c>
      <c r="F2591" s="617" t="s">
        <v>26</v>
      </c>
      <c r="G2591" s="624"/>
      <c r="O2591" s="616"/>
      <c r="P2591" s="616"/>
      <c r="Q2591" s="616"/>
      <c r="AA2591" s="624"/>
      <c r="AB2591" s="663">
        <v>39151714400</v>
      </c>
      <c r="AC2591" s="663" t="s">
        <v>7523</v>
      </c>
      <c r="AD2591" s="663" t="s">
        <v>4948</v>
      </c>
      <c r="AE2591" s="663" t="s">
        <v>4942</v>
      </c>
      <c r="AF2591" s="663" t="s">
        <v>4946</v>
      </c>
    </row>
    <row r="2592" spans="1:32" s="608" customFormat="1" x14ac:dyDescent="0.25">
      <c r="A2592" s="624"/>
      <c r="B2592" s="617">
        <v>39135480100</v>
      </c>
      <c r="C2592" s="617" t="s">
        <v>4260</v>
      </c>
      <c r="D2592" s="617" t="s">
        <v>91</v>
      </c>
      <c r="E2592" s="617" t="s">
        <v>1672</v>
      </c>
      <c r="F2592" s="617" t="s">
        <v>26</v>
      </c>
      <c r="G2592" s="624"/>
      <c r="O2592" s="616"/>
      <c r="P2592" s="616"/>
      <c r="Q2592" s="616"/>
      <c r="AA2592" s="624"/>
      <c r="AB2592" s="663">
        <v>39151714600</v>
      </c>
      <c r="AC2592" s="663" t="s">
        <v>7524</v>
      </c>
      <c r="AD2592" s="663" t="s">
        <v>4950</v>
      </c>
      <c r="AE2592" s="663" t="s">
        <v>4942</v>
      </c>
      <c r="AF2592" s="663" t="s">
        <v>4946</v>
      </c>
    </row>
    <row r="2593" spans="1:32" s="608" customFormat="1" x14ac:dyDescent="0.25">
      <c r="A2593" s="624"/>
      <c r="B2593" s="617">
        <v>39137030100</v>
      </c>
      <c r="C2593" s="617" t="s">
        <v>4261</v>
      </c>
      <c r="D2593" s="617" t="s">
        <v>92</v>
      </c>
      <c r="E2593" s="617" t="s">
        <v>1672</v>
      </c>
      <c r="F2593" s="617" t="s">
        <v>26</v>
      </c>
      <c r="G2593" s="624"/>
      <c r="O2593" s="616"/>
      <c r="P2593" s="616"/>
      <c r="Q2593" s="616"/>
      <c r="AA2593" s="624"/>
      <c r="AB2593" s="663">
        <v>39151714701</v>
      </c>
      <c r="AC2593" s="663" t="s">
        <v>7525</v>
      </c>
      <c r="AD2593" s="663" t="s">
        <v>4948</v>
      </c>
      <c r="AE2593" s="663" t="s">
        <v>4934</v>
      </c>
      <c r="AF2593" s="663" t="s">
        <v>4946</v>
      </c>
    </row>
    <row r="2594" spans="1:32" s="608" customFormat="1" x14ac:dyDescent="0.25">
      <c r="A2594" s="624"/>
      <c r="B2594" s="617">
        <v>39137030200</v>
      </c>
      <c r="C2594" s="617" t="s">
        <v>4262</v>
      </c>
      <c r="D2594" s="617" t="s">
        <v>92</v>
      </c>
      <c r="E2594" s="617" t="s">
        <v>1672</v>
      </c>
      <c r="F2594" s="617" t="s">
        <v>26</v>
      </c>
      <c r="G2594" s="624"/>
      <c r="O2594" s="616"/>
      <c r="P2594" s="616"/>
      <c r="Q2594" s="616"/>
      <c r="AA2594" s="624"/>
      <c r="AB2594" s="663">
        <v>39151714702</v>
      </c>
      <c r="AC2594" s="663" t="s">
        <v>7526</v>
      </c>
      <c r="AD2594" s="663" t="s">
        <v>4938</v>
      </c>
      <c r="AE2594" s="663" t="s">
        <v>4931</v>
      </c>
      <c r="AF2594" s="663" t="s">
        <v>4929</v>
      </c>
    </row>
    <row r="2595" spans="1:32" s="608" customFormat="1" x14ac:dyDescent="0.25">
      <c r="A2595" s="624"/>
      <c r="B2595" s="617">
        <v>39137030301</v>
      </c>
      <c r="C2595" s="617" t="s">
        <v>4263</v>
      </c>
      <c r="D2595" s="617" t="s">
        <v>92</v>
      </c>
      <c r="E2595" s="617" t="s">
        <v>1672</v>
      </c>
      <c r="F2595" s="617" t="s">
        <v>26</v>
      </c>
      <c r="G2595" s="624"/>
      <c r="O2595" s="616"/>
      <c r="P2595" s="616"/>
      <c r="Q2595" s="616"/>
      <c r="AA2595" s="624"/>
      <c r="AB2595" s="663">
        <v>39151714801</v>
      </c>
      <c r="AC2595" s="663" t="s">
        <v>7527</v>
      </c>
      <c r="AD2595" s="663" t="s">
        <v>4950</v>
      </c>
      <c r="AE2595" s="663" t="s">
        <v>4934</v>
      </c>
      <c r="AF2595" s="663" t="s">
        <v>4929</v>
      </c>
    </row>
    <row r="2596" spans="1:32" s="608" customFormat="1" x14ac:dyDescent="0.25">
      <c r="A2596" s="624"/>
      <c r="B2596" s="617">
        <v>39137030302</v>
      </c>
      <c r="C2596" s="617" t="s">
        <v>4264</v>
      </c>
      <c r="D2596" s="617" t="s">
        <v>92</v>
      </c>
      <c r="E2596" s="617" t="s">
        <v>1672</v>
      </c>
      <c r="F2596" s="617" t="s">
        <v>26</v>
      </c>
      <c r="G2596" s="624"/>
      <c r="O2596" s="616"/>
      <c r="P2596" s="616"/>
      <c r="Q2596" s="616"/>
      <c r="AA2596" s="624"/>
      <c r="AB2596" s="663">
        <v>39151714802</v>
      </c>
      <c r="AC2596" s="663" t="s">
        <v>7528</v>
      </c>
      <c r="AD2596" s="663" t="s">
        <v>4950</v>
      </c>
      <c r="AE2596" s="663" t="s">
        <v>4934</v>
      </c>
      <c r="AF2596" s="663" t="s">
        <v>4929</v>
      </c>
    </row>
    <row r="2597" spans="1:32" s="608" customFormat="1" x14ac:dyDescent="0.25">
      <c r="A2597" s="624"/>
      <c r="B2597" s="617">
        <v>39137030400</v>
      </c>
      <c r="C2597" s="617" t="s">
        <v>4265</v>
      </c>
      <c r="D2597" s="617" t="s">
        <v>92</v>
      </c>
      <c r="E2597" s="617" t="s">
        <v>1672</v>
      </c>
      <c r="F2597" s="617" t="s">
        <v>26</v>
      </c>
      <c r="G2597" s="624"/>
      <c r="O2597" s="616"/>
      <c r="P2597" s="616"/>
      <c r="Q2597" s="616"/>
      <c r="AA2597" s="624"/>
      <c r="AB2597" s="663">
        <v>39151714901</v>
      </c>
      <c r="AC2597" s="663" t="s">
        <v>7529</v>
      </c>
      <c r="AD2597" s="663" t="s">
        <v>4948</v>
      </c>
      <c r="AE2597" s="663" t="s">
        <v>4931</v>
      </c>
      <c r="AF2597" s="663" t="s">
        <v>4929</v>
      </c>
    </row>
    <row r="2598" spans="1:32" s="608" customFormat="1" x14ac:dyDescent="0.25">
      <c r="A2598" s="624"/>
      <c r="B2598" s="617">
        <v>39137030500</v>
      </c>
      <c r="C2598" s="617" t="s">
        <v>4266</v>
      </c>
      <c r="D2598" s="617" t="s">
        <v>92</v>
      </c>
      <c r="E2598" s="617" t="s">
        <v>1672</v>
      </c>
      <c r="F2598" s="617" t="s">
        <v>26</v>
      </c>
      <c r="G2598" s="624"/>
      <c r="O2598" s="616"/>
      <c r="P2598" s="616"/>
      <c r="Q2598" s="616"/>
      <c r="AA2598" s="624"/>
      <c r="AB2598" s="663">
        <v>39151714902</v>
      </c>
      <c r="AC2598" s="663" t="s">
        <v>7530</v>
      </c>
      <c r="AD2598" s="663" t="s">
        <v>4950</v>
      </c>
      <c r="AE2598" s="663" t="s">
        <v>4934</v>
      </c>
      <c r="AF2598" s="663" t="s">
        <v>4929</v>
      </c>
    </row>
    <row r="2599" spans="1:32" s="608" customFormat="1" x14ac:dyDescent="0.25">
      <c r="A2599" s="624"/>
      <c r="B2599" s="617">
        <v>39137030600</v>
      </c>
      <c r="C2599" s="617" t="s">
        <v>4267</v>
      </c>
      <c r="D2599" s="617" t="s">
        <v>92</v>
      </c>
      <c r="E2599" s="617" t="s">
        <v>1672</v>
      </c>
      <c r="F2599" s="617" t="s">
        <v>26</v>
      </c>
      <c r="G2599" s="624"/>
      <c r="O2599" s="616"/>
      <c r="P2599" s="616"/>
      <c r="Q2599" s="616"/>
      <c r="AA2599" s="624"/>
      <c r="AB2599" s="663">
        <v>39151715000</v>
      </c>
      <c r="AC2599" s="663" t="s">
        <v>7531</v>
      </c>
      <c r="AD2599" s="663" t="s">
        <v>4950</v>
      </c>
      <c r="AE2599" s="663" t="s">
        <v>4942</v>
      </c>
      <c r="AF2599" s="663" t="s">
        <v>4946</v>
      </c>
    </row>
    <row r="2600" spans="1:32" s="608" customFormat="1" x14ac:dyDescent="0.25">
      <c r="A2600" s="624"/>
      <c r="B2600" s="617">
        <v>39137030700</v>
      </c>
      <c r="C2600" s="617" t="s">
        <v>4268</v>
      </c>
      <c r="D2600" s="617" t="s">
        <v>92</v>
      </c>
      <c r="E2600" s="617" t="s">
        <v>1672</v>
      </c>
      <c r="F2600" s="617" t="s">
        <v>26</v>
      </c>
      <c r="G2600" s="624"/>
      <c r="O2600" s="616"/>
      <c r="P2600" s="616"/>
      <c r="Q2600" s="616"/>
      <c r="AA2600" s="624"/>
      <c r="AB2600" s="663">
        <v>39153501100</v>
      </c>
      <c r="AC2600" s="663" t="s">
        <v>7532</v>
      </c>
      <c r="AD2600" s="663" t="s">
        <v>4941</v>
      </c>
      <c r="AE2600" s="663" t="s">
        <v>4931</v>
      </c>
      <c r="AF2600" s="663" t="s">
        <v>4962</v>
      </c>
    </row>
    <row r="2601" spans="1:32" s="608" customFormat="1" x14ac:dyDescent="0.25">
      <c r="A2601" s="624"/>
      <c r="B2601" s="617">
        <v>39139000400</v>
      </c>
      <c r="C2601" s="617" t="s">
        <v>4269</v>
      </c>
      <c r="D2601" s="617" t="s">
        <v>93</v>
      </c>
      <c r="E2601" s="617" t="s">
        <v>4861</v>
      </c>
      <c r="F2601" s="617" t="s">
        <v>24</v>
      </c>
      <c r="G2601" s="624"/>
      <c r="O2601" s="616"/>
      <c r="P2601" s="616"/>
      <c r="Q2601" s="616"/>
      <c r="AA2601" s="624"/>
      <c r="AB2601" s="663">
        <v>39153501700</v>
      </c>
      <c r="AC2601" s="663" t="s">
        <v>7533</v>
      </c>
      <c r="AD2601" s="663" t="s">
        <v>4941</v>
      </c>
      <c r="AE2601" s="663" t="s">
        <v>4928</v>
      </c>
      <c r="AF2601" s="663" t="s">
        <v>4962</v>
      </c>
    </row>
    <row r="2602" spans="1:32" s="608" customFormat="1" x14ac:dyDescent="0.25">
      <c r="A2602" s="624"/>
      <c r="B2602" s="617">
        <v>39139000500</v>
      </c>
      <c r="C2602" s="617" t="s">
        <v>4270</v>
      </c>
      <c r="D2602" s="617" t="s">
        <v>93</v>
      </c>
      <c r="E2602" s="617" t="s">
        <v>4861</v>
      </c>
      <c r="F2602" s="617" t="s">
        <v>24</v>
      </c>
      <c r="G2602" s="624"/>
      <c r="O2602" s="616"/>
      <c r="P2602" s="616"/>
      <c r="Q2602" s="616"/>
      <c r="AA2602" s="624"/>
      <c r="AB2602" s="663">
        <v>39153501800</v>
      </c>
      <c r="AC2602" s="663" t="s">
        <v>7534</v>
      </c>
      <c r="AD2602" s="663" t="s">
        <v>4950</v>
      </c>
      <c r="AE2602" s="663" t="s">
        <v>5006</v>
      </c>
      <c r="AF2602" s="663" t="s">
        <v>4962</v>
      </c>
    </row>
    <row r="2603" spans="1:32" s="608" customFormat="1" x14ac:dyDescent="0.25">
      <c r="A2603" s="624"/>
      <c r="B2603" s="617">
        <v>39139000600</v>
      </c>
      <c r="C2603" s="617" t="s">
        <v>4271</v>
      </c>
      <c r="D2603" s="617" t="s">
        <v>93</v>
      </c>
      <c r="E2603" s="617" t="s">
        <v>4861</v>
      </c>
      <c r="F2603" s="617" t="s">
        <v>24</v>
      </c>
      <c r="G2603" s="624"/>
      <c r="O2603" s="616"/>
      <c r="P2603" s="616"/>
      <c r="Q2603" s="616"/>
      <c r="AA2603" s="624"/>
      <c r="AB2603" s="663">
        <v>39153501900</v>
      </c>
      <c r="AC2603" s="663" t="s">
        <v>7535</v>
      </c>
      <c r="AD2603" s="663" t="s">
        <v>4927</v>
      </c>
      <c r="AE2603" s="663" t="s">
        <v>4939</v>
      </c>
      <c r="AF2603" s="663" t="s">
        <v>4962</v>
      </c>
    </row>
    <row r="2604" spans="1:32" s="608" customFormat="1" x14ac:dyDescent="0.25">
      <c r="A2604" s="624"/>
      <c r="B2604" s="617">
        <v>39139000700</v>
      </c>
      <c r="C2604" s="617" t="s">
        <v>4272</v>
      </c>
      <c r="D2604" s="617" t="s">
        <v>93</v>
      </c>
      <c r="E2604" s="617" t="s">
        <v>4861</v>
      </c>
      <c r="F2604" s="617" t="s">
        <v>24</v>
      </c>
      <c r="G2604" s="624"/>
      <c r="O2604" s="616"/>
      <c r="P2604" s="616"/>
      <c r="Q2604" s="616"/>
      <c r="AA2604" s="624"/>
      <c r="AB2604" s="663">
        <v>39153502101</v>
      </c>
      <c r="AC2604" s="663" t="s">
        <v>7536</v>
      </c>
      <c r="AD2604" s="663" t="s">
        <v>4948</v>
      </c>
      <c r="AE2604" s="663" t="s">
        <v>4928</v>
      </c>
      <c r="AF2604" s="663" t="s">
        <v>4962</v>
      </c>
    </row>
    <row r="2605" spans="1:32" s="608" customFormat="1" x14ac:dyDescent="0.25">
      <c r="A2605" s="624"/>
      <c r="B2605" s="617">
        <v>39139000800</v>
      </c>
      <c r="C2605" s="617" t="s">
        <v>4273</v>
      </c>
      <c r="D2605" s="617" t="s">
        <v>93</v>
      </c>
      <c r="E2605" s="617" t="s">
        <v>4861</v>
      </c>
      <c r="F2605" s="617" t="s">
        <v>24</v>
      </c>
      <c r="G2605" s="624"/>
      <c r="O2605" s="616"/>
      <c r="P2605" s="616"/>
      <c r="Q2605" s="616"/>
      <c r="AA2605" s="624"/>
      <c r="AB2605" s="663">
        <v>39153502102</v>
      </c>
      <c r="AC2605" s="663" t="s">
        <v>7537</v>
      </c>
      <c r="AD2605" s="663" t="s">
        <v>4927</v>
      </c>
      <c r="AE2605" s="663" t="s">
        <v>4928</v>
      </c>
      <c r="AF2605" s="663" t="s">
        <v>4946</v>
      </c>
    </row>
    <row r="2606" spans="1:32" s="608" customFormat="1" x14ac:dyDescent="0.25">
      <c r="A2606" s="624"/>
      <c r="B2606" s="617">
        <v>39139000900</v>
      </c>
      <c r="C2606" s="617" t="s">
        <v>4274</v>
      </c>
      <c r="D2606" s="617" t="s">
        <v>93</v>
      </c>
      <c r="E2606" s="617" t="s">
        <v>4861</v>
      </c>
      <c r="F2606" s="617" t="s">
        <v>26</v>
      </c>
      <c r="G2606" s="624"/>
      <c r="O2606" s="616"/>
      <c r="P2606" s="616"/>
      <c r="Q2606" s="616"/>
      <c r="AA2606" s="624"/>
      <c r="AB2606" s="663">
        <v>39153502200</v>
      </c>
      <c r="AC2606" s="663" t="s">
        <v>7538</v>
      </c>
      <c r="AD2606" s="663" t="s">
        <v>4941</v>
      </c>
      <c r="AE2606" s="663" t="s">
        <v>4931</v>
      </c>
      <c r="AF2606" s="663" t="s">
        <v>4962</v>
      </c>
    </row>
    <row r="2607" spans="1:32" s="608" customFormat="1" x14ac:dyDescent="0.25">
      <c r="A2607" s="624"/>
      <c r="B2607" s="617">
        <v>39139001000</v>
      </c>
      <c r="C2607" s="617" t="s">
        <v>4275</v>
      </c>
      <c r="D2607" s="617" t="s">
        <v>93</v>
      </c>
      <c r="E2607" s="617" t="s">
        <v>4861</v>
      </c>
      <c r="F2607" s="617" t="s">
        <v>24</v>
      </c>
      <c r="G2607" s="624"/>
      <c r="O2607" s="616"/>
      <c r="P2607" s="616"/>
      <c r="Q2607" s="616"/>
      <c r="AA2607" s="624"/>
      <c r="AB2607" s="663">
        <v>39153502300</v>
      </c>
      <c r="AC2607" s="663" t="s">
        <v>7539</v>
      </c>
      <c r="AD2607" s="663" t="s">
        <v>4948</v>
      </c>
      <c r="AE2607" s="663" t="s">
        <v>5006</v>
      </c>
      <c r="AF2607" s="663" t="s">
        <v>4962</v>
      </c>
    </row>
    <row r="2608" spans="1:32" s="608" customFormat="1" x14ac:dyDescent="0.25">
      <c r="A2608" s="624"/>
      <c r="B2608" s="617">
        <v>39139001100</v>
      </c>
      <c r="C2608" s="617" t="s">
        <v>4276</v>
      </c>
      <c r="D2608" s="617" t="s">
        <v>93</v>
      </c>
      <c r="E2608" s="617" t="s">
        <v>4861</v>
      </c>
      <c r="F2608" s="617" t="s">
        <v>26</v>
      </c>
      <c r="G2608" s="624"/>
      <c r="O2608" s="616"/>
      <c r="P2608" s="616"/>
      <c r="Q2608" s="616"/>
      <c r="AA2608" s="624"/>
      <c r="AB2608" s="663">
        <v>39153502500</v>
      </c>
      <c r="AC2608" s="663" t="s">
        <v>7540</v>
      </c>
      <c r="AD2608" s="663" t="s">
        <v>4948</v>
      </c>
      <c r="AE2608" s="663" t="s">
        <v>4939</v>
      </c>
      <c r="AF2608" s="663" t="s">
        <v>4962</v>
      </c>
    </row>
    <row r="2609" spans="1:32" s="608" customFormat="1" x14ac:dyDescent="0.25">
      <c r="A2609" s="624"/>
      <c r="B2609" s="617">
        <v>39139001200</v>
      </c>
      <c r="C2609" s="617" t="s">
        <v>4277</v>
      </c>
      <c r="D2609" s="617" t="s">
        <v>93</v>
      </c>
      <c r="E2609" s="617" t="s">
        <v>4861</v>
      </c>
      <c r="F2609" s="617" t="s">
        <v>26</v>
      </c>
      <c r="G2609" s="624"/>
      <c r="O2609" s="616"/>
      <c r="P2609" s="616"/>
      <c r="Q2609" s="616"/>
      <c r="AA2609" s="624"/>
      <c r="AB2609" s="663">
        <v>39153502600</v>
      </c>
      <c r="AC2609" s="663" t="s">
        <v>7541</v>
      </c>
      <c r="AD2609" s="663" t="s">
        <v>4948</v>
      </c>
      <c r="AE2609" s="663" t="s">
        <v>4928</v>
      </c>
      <c r="AF2609" s="663" t="s">
        <v>4962</v>
      </c>
    </row>
    <row r="2610" spans="1:32" s="608" customFormat="1" x14ac:dyDescent="0.25">
      <c r="A2610" s="624"/>
      <c r="B2610" s="617">
        <v>39139001300</v>
      </c>
      <c r="C2610" s="617" t="s">
        <v>4278</v>
      </c>
      <c r="D2610" s="617" t="s">
        <v>93</v>
      </c>
      <c r="E2610" s="617" t="s">
        <v>4861</v>
      </c>
      <c r="F2610" s="617" t="s">
        <v>26</v>
      </c>
      <c r="G2610" s="624"/>
      <c r="O2610" s="616"/>
      <c r="P2610" s="616"/>
      <c r="Q2610" s="616"/>
      <c r="AA2610" s="624"/>
      <c r="AB2610" s="663">
        <v>39153502700</v>
      </c>
      <c r="AC2610" s="663" t="s">
        <v>7542</v>
      </c>
      <c r="AD2610" s="663" t="s">
        <v>4941</v>
      </c>
      <c r="AE2610" s="663" t="s">
        <v>4931</v>
      </c>
      <c r="AF2610" s="663" t="s">
        <v>4962</v>
      </c>
    </row>
    <row r="2611" spans="1:32" s="608" customFormat="1" x14ac:dyDescent="0.25">
      <c r="A2611" s="624"/>
      <c r="B2611" s="617">
        <v>39139001400</v>
      </c>
      <c r="C2611" s="617" t="s">
        <v>4279</v>
      </c>
      <c r="D2611" s="617" t="s">
        <v>93</v>
      </c>
      <c r="E2611" s="617" t="s">
        <v>4861</v>
      </c>
      <c r="F2611" s="617" t="s">
        <v>26</v>
      </c>
      <c r="G2611" s="624"/>
      <c r="O2611" s="616"/>
      <c r="P2611" s="616"/>
      <c r="Q2611" s="616"/>
      <c r="AA2611" s="624"/>
      <c r="AB2611" s="663">
        <v>39153502800</v>
      </c>
      <c r="AC2611" s="663" t="s">
        <v>7543</v>
      </c>
      <c r="AD2611" s="663" t="s">
        <v>4941</v>
      </c>
      <c r="AE2611" s="663" t="s">
        <v>4928</v>
      </c>
      <c r="AF2611" s="663" t="s">
        <v>4962</v>
      </c>
    </row>
    <row r="2612" spans="1:32" s="608" customFormat="1" x14ac:dyDescent="0.25">
      <c r="A2612" s="624"/>
      <c r="B2612" s="617">
        <v>39139001500</v>
      </c>
      <c r="C2612" s="617" t="s">
        <v>4280</v>
      </c>
      <c r="D2612" s="617" t="s">
        <v>93</v>
      </c>
      <c r="E2612" s="617" t="s">
        <v>4861</v>
      </c>
      <c r="F2612" s="617" t="s">
        <v>26</v>
      </c>
      <c r="G2612" s="624"/>
      <c r="O2612" s="616"/>
      <c r="P2612" s="616"/>
      <c r="Q2612" s="616"/>
      <c r="AA2612" s="624"/>
      <c r="AB2612" s="663">
        <v>39153503100</v>
      </c>
      <c r="AC2612" s="663" t="s">
        <v>7544</v>
      </c>
      <c r="AD2612" s="663" t="s">
        <v>4948</v>
      </c>
      <c r="AE2612" s="663" t="s">
        <v>4934</v>
      </c>
      <c r="AF2612" s="663" t="s">
        <v>4962</v>
      </c>
    </row>
    <row r="2613" spans="1:32" s="608" customFormat="1" x14ac:dyDescent="0.25">
      <c r="A2613" s="624"/>
      <c r="B2613" s="617">
        <v>39139001600</v>
      </c>
      <c r="C2613" s="617" t="s">
        <v>4281</v>
      </c>
      <c r="D2613" s="617" t="s">
        <v>93</v>
      </c>
      <c r="E2613" s="617" t="s">
        <v>4861</v>
      </c>
      <c r="F2613" s="617" t="s">
        <v>24</v>
      </c>
      <c r="G2613" s="624"/>
      <c r="O2613" s="616"/>
      <c r="P2613" s="616"/>
      <c r="Q2613" s="616"/>
      <c r="AA2613" s="624"/>
      <c r="AB2613" s="663">
        <v>39153503200</v>
      </c>
      <c r="AC2613" s="663" t="s">
        <v>7545</v>
      </c>
      <c r="AD2613" s="663" t="s">
        <v>4927</v>
      </c>
      <c r="AE2613" s="663" t="s">
        <v>4928</v>
      </c>
      <c r="AF2613" s="663" t="s">
        <v>4962</v>
      </c>
    </row>
    <row r="2614" spans="1:32" s="608" customFormat="1" x14ac:dyDescent="0.25">
      <c r="A2614" s="624"/>
      <c r="B2614" s="617">
        <v>39139001700</v>
      </c>
      <c r="C2614" s="617" t="s">
        <v>4282</v>
      </c>
      <c r="D2614" s="617" t="s">
        <v>93</v>
      </c>
      <c r="E2614" s="617" t="s">
        <v>4861</v>
      </c>
      <c r="F2614" s="617" t="s">
        <v>26</v>
      </c>
      <c r="G2614" s="624"/>
      <c r="O2614" s="616"/>
      <c r="P2614" s="616"/>
      <c r="Q2614" s="616"/>
      <c r="AA2614" s="624"/>
      <c r="AB2614" s="663">
        <v>39153503300</v>
      </c>
      <c r="AC2614" s="663" t="s">
        <v>7546</v>
      </c>
      <c r="AD2614" s="663" t="s">
        <v>4948</v>
      </c>
      <c r="AE2614" s="663" t="s">
        <v>4942</v>
      </c>
      <c r="AF2614" s="663" t="s">
        <v>4962</v>
      </c>
    </row>
    <row r="2615" spans="1:32" s="608" customFormat="1" x14ac:dyDescent="0.25">
      <c r="A2615" s="624"/>
      <c r="B2615" s="617">
        <v>39139001800</v>
      </c>
      <c r="C2615" s="617" t="s">
        <v>4283</v>
      </c>
      <c r="D2615" s="617" t="s">
        <v>93</v>
      </c>
      <c r="E2615" s="617" t="s">
        <v>4861</v>
      </c>
      <c r="F2615" s="617" t="s">
        <v>26</v>
      </c>
      <c r="G2615" s="624"/>
      <c r="O2615" s="616"/>
      <c r="P2615" s="616"/>
      <c r="Q2615" s="616"/>
      <c r="AA2615" s="624"/>
      <c r="AB2615" s="663">
        <v>39153503400</v>
      </c>
      <c r="AC2615" s="663" t="s">
        <v>7547</v>
      </c>
      <c r="AD2615" s="663" t="s">
        <v>4927</v>
      </c>
      <c r="AE2615" s="663" t="s">
        <v>4939</v>
      </c>
      <c r="AF2615" s="663" t="s">
        <v>4962</v>
      </c>
    </row>
    <row r="2616" spans="1:32" s="608" customFormat="1" x14ac:dyDescent="0.25">
      <c r="A2616" s="624"/>
      <c r="B2616" s="617">
        <v>39139001900</v>
      </c>
      <c r="C2616" s="617" t="s">
        <v>4284</v>
      </c>
      <c r="D2616" s="617" t="s">
        <v>93</v>
      </c>
      <c r="E2616" s="617" t="s">
        <v>4861</v>
      </c>
      <c r="F2616" s="617" t="s">
        <v>26</v>
      </c>
      <c r="G2616" s="624"/>
      <c r="O2616" s="616"/>
      <c r="P2616" s="616"/>
      <c r="Q2616" s="616"/>
      <c r="AA2616" s="624"/>
      <c r="AB2616" s="663">
        <v>39153503500</v>
      </c>
      <c r="AC2616" s="663" t="s">
        <v>7548</v>
      </c>
      <c r="AD2616" s="663" t="s">
        <v>4927</v>
      </c>
      <c r="AE2616" s="663" t="s">
        <v>4942</v>
      </c>
      <c r="AF2616" s="663" t="s">
        <v>4962</v>
      </c>
    </row>
    <row r="2617" spans="1:32" s="608" customFormat="1" x14ac:dyDescent="0.25">
      <c r="A2617" s="624"/>
      <c r="B2617" s="617">
        <v>39139002000</v>
      </c>
      <c r="C2617" s="617" t="s">
        <v>4285</v>
      </c>
      <c r="D2617" s="617" t="s">
        <v>93</v>
      </c>
      <c r="E2617" s="617" t="s">
        <v>4861</v>
      </c>
      <c r="F2617" s="617" t="s">
        <v>26</v>
      </c>
      <c r="G2617" s="624"/>
      <c r="O2617" s="616"/>
      <c r="P2617" s="616"/>
      <c r="Q2617" s="616"/>
      <c r="AA2617" s="624"/>
      <c r="AB2617" s="663">
        <v>39153503600</v>
      </c>
      <c r="AC2617" s="663" t="s">
        <v>7549</v>
      </c>
      <c r="AD2617" s="663" t="s">
        <v>4927</v>
      </c>
      <c r="AE2617" s="663" t="s">
        <v>4928</v>
      </c>
      <c r="AF2617" s="663" t="s">
        <v>4946</v>
      </c>
    </row>
    <row r="2618" spans="1:32" s="608" customFormat="1" x14ac:dyDescent="0.25">
      <c r="A2618" s="624"/>
      <c r="B2618" s="617">
        <v>39139002101</v>
      </c>
      <c r="C2618" s="617" t="s">
        <v>4286</v>
      </c>
      <c r="D2618" s="617" t="s">
        <v>93</v>
      </c>
      <c r="E2618" s="617" t="s">
        <v>4861</v>
      </c>
      <c r="F2618" s="617" t="s">
        <v>26</v>
      </c>
      <c r="G2618" s="624"/>
      <c r="O2618" s="616"/>
      <c r="P2618" s="616"/>
      <c r="Q2618" s="616"/>
      <c r="AA2618" s="624"/>
      <c r="AB2618" s="663">
        <v>39153503701</v>
      </c>
      <c r="AC2618" s="663" t="s">
        <v>7550</v>
      </c>
      <c r="AD2618" s="663" t="s">
        <v>4938</v>
      </c>
      <c r="AE2618" s="663" t="s">
        <v>4931</v>
      </c>
      <c r="AF2618" s="663" t="s">
        <v>4962</v>
      </c>
    </row>
    <row r="2619" spans="1:32" s="608" customFormat="1" x14ac:dyDescent="0.25">
      <c r="A2619" s="624"/>
      <c r="B2619" s="617">
        <v>39139002102</v>
      </c>
      <c r="C2619" s="617" t="s">
        <v>4287</v>
      </c>
      <c r="D2619" s="617" t="s">
        <v>93</v>
      </c>
      <c r="E2619" s="617" t="s">
        <v>4861</v>
      </c>
      <c r="F2619" s="617" t="s">
        <v>26</v>
      </c>
      <c r="G2619" s="624"/>
      <c r="O2619" s="616"/>
      <c r="P2619" s="616"/>
      <c r="Q2619" s="616"/>
      <c r="AA2619" s="624"/>
      <c r="AB2619" s="663">
        <v>39153503702</v>
      </c>
      <c r="AC2619" s="663" t="s">
        <v>7551</v>
      </c>
      <c r="AD2619" s="663" t="s">
        <v>4941</v>
      </c>
      <c r="AE2619" s="663" t="s">
        <v>4928</v>
      </c>
      <c r="AF2619" s="663" t="s">
        <v>4962</v>
      </c>
    </row>
    <row r="2620" spans="1:32" s="608" customFormat="1" x14ac:dyDescent="0.25">
      <c r="A2620" s="624"/>
      <c r="B2620" s="617">
        <v>39139002200</v>
      </c>
      <c r="C2620" s="617" t="s">
        <v>4288</v>
      </c>
      <c r="D2620" s="617" t="s">
        <v>93</v>
      </c>
      <c r="E2620" s="617" t="s">
        <v>4861</v>
      </c>
      <c r="F2620" s="617" t="s">
        <v>26</v>
      </c>
      <c r="G2620" s="624"/>
      <c r="O2620" s="616"/>
      <c r="P2620" s="616"/>
      <c r="Q2620" s="616"/>
      <c r="AA2620" s="624"/>
      <c r="AB2620" s="663">
        <v>39153503800</v>
      </c>
      <c r="AC2620" s="663" t="s">
        <v>7552</v>
      </c>
      <c r="AD2620" s="663" t="s">
        <v>4927</v>
      </c>
      <c r="AE2620" s="663" t="s">
        <v>4942</v>
      </c>
      <c r="AF2620" s="663" t="s">
        <v>4946</v>
      </c>
    </row>
    <row r="2621" spans="1:32" s="608" customFormat="1" x14ac:dyDescent="0.25">
      <c r="A2621" s="624"/>
      <c r="B2621" s="617">
        <v>39139002300</v>
      </c>
      <c r="C2621" s="617" t="s">
        <v>4289</v>
      </c>
      <c r="D2621" s="617" t="s">
        <v>93</v>
      </c>
      <c r="E2621" s="617" t="s">
        <v>4861</v>
      </c>
      <c r="F2621" s="617" t="s">
        <v>26</v>
      </c>
      <c r="G2621" s="624"/>
      <c r="O2621" s="616"/>
      <c r="P2621" s="616"/>
      <c r="Q2621" s="616"/>
      <c r="AA2621" s="624"/>
      <c r="AB2621" s="663">
        <v>39153504100</v>
      </c>
      <c r="AC2621" s="663" t="s">
        <v>7553</v>
      </c>
      <c r="AD2621" s="663" t="s">
        <v>4941</v>
      </c>
      <c r="AE2621" s="663" t="s">
        <v>4939</v>
      </c>
      <c r="AF2621" s="663" t="s">
        <v>4962</v>
      </c>
    </row>
    <row r="2622" spans="1:32" s="608" customFormat="1" x14ac:dyDescent="0.25">
      <c r="A2622" s="624"/>
      <c r="B2622" s="617">
        <v>39139002400</v>
      </c>
      <c r="C2622" s="617" t="s">
        <v>4290</v>
      </c>
      <c r="D2622" s="617" t="s">
        <v>93</v>
      </c>
      <c r="E2622" s="617" t="s">
        <v>4861</v>
      </c>
      <c r="F2622" s="617" t="s">
        <v>26</v>
      </c>
      <c r="G2622" s="624"/>
      <c r="O2622" s="616"/>
      <c r="P2622" s="616"/>
      <c r="Q2622" s="616"/>
      <c r="AA2622" s="624"/>
      <c r="AB2622" s="663">
        <v>39153504200</v>
      </c>
      <c r="AC2622" s="663" t="s">
        <v>7554</v>
      </c>
      <c r="AD2622" s="663" t="s">
        <v>4950</v>
      </c>
      <c r="AE2622" s="663" t="s">
        <v>4934</v>
      </c>
      <c r="AF2622" s="663" t="s">
        <v>4962</v>
      </c>
    </row>
    <row r="2623" spans="1:32" s="608" customFormat="1" x14ac:dyDescent="0.25">
      <c r="A2623" s="624"/>
      <c r="B2623" s="617">
        <v>39139002500</v>
      </c>
      <c r="C2623" s="617" t="s">
        <v>4291</v>
      </c>
      <c r="D2623" s="617" t="s">
        <v>93</v>
      </c>
      <c r="E2623" s="617" t="s">
        <v>4861</v>
      </c>
      <c r="F2623" s="617" t="s">
        <v>26</v>
      </c>
      <c r="G2623" s="624"/>
      <c r="O2623" s="616"/>
      <c r="P2623" s="616"/>
      <c r="Q2623" s="616"/>
      <c r="AA2623" s="624"/>
      <c r="AB2623" s="663">
        <v>39153504400</v>
      </c>
      <c r="AC2623" s="663" t="s">
        <v>7555</v>
      </c>
      <c r="AD2623" s="663" t="s">
        <v>4950</v>
      </c>
      <c r="AE2623" s="663" t="s">
        <v>4942</v>
      </c>
      <c r="AF2623" s="663" t="s">
        <v>4962</v>
      </c>
    </row>
    <row r="2624" spans="1:32" s="608" customFormat="1" x14ac:dyDescent="0.25">
      <c r="A2624" s="624"/>
      <c r="B2624" s="617">
        <v>39139002600</v>
      </c>
      <c r="C2624" s="617" t="s">
        <v>4292</v>
      </c>
      <c r="D2624" s="617" t="s">
        <v>93</v>
      </c>
      <c r="E2624" s="617" t="s">
        <v>4861</v>
      </c>
      <c r="F2624" s="617" t="s">
        <v>26</v>
      </c>
      <c r="G2624" s="624"/>
      <c r="O2624" s="616"/>
      <c r="P2624" s="616"/>
      <c r="Q2624" s="616"/>
      <c r="AA2624" s="624"/>
      <c r="AB2624" s="663">
        <v>39153504500</v>
      </c>
      <c r="AC2624" s="663" t="s">
        <v>7556</v>
      </c>
      <c r="AD2624" s="663" t="s">
        <v>4948</v>
      </c>
      <c r="AE2624" s="663" t="s">
        <v>4942</v>
      </c>
      <c r="AF2624" s="663" t="s">
        <v>4962</v>
      </c>
    </row>
    <row r="2625" spans="1:32" s="608" customFormat="1" x14ac:dyDescent="0.25">
      <c r="A2625" s="624"/>
      <c r="B2625" s="617">
        <v>39139002700</v>
      </c>
      <c r="C2625" s="617" t="s">
        <v>4293</v>
      </c>
      <c r="D2625" s="617" t="s">
        <v>93</v>
      </c>
      <c r="E2625" s="617" t="s">
        <v>4861</v>
      </c>
      <c r="F2625" s="617" t="s">
        <v>26</v>
      </c>
      <c r="G2625" s="624"/>
      <c r="O2625" s="616"/>
      <c r="P2625" s="616"/>
      <c r="Q2625" s="616"/>
      <c r="AA2625" s="624"/>
      <c r="AB2625" s="663">
        <v>39153504600</v>
      </c>
      <c r="AC2625" s="663" t="s">
        <v>7557</v>
      </c>
      <c r="AD2625" s="663" t="s">
        <v>4950</v>
      </c>
      <c r="AE2625" s="663" t="s">
        <v>4928</v>
      </c>
      <c r="AF2625" s="663" t="s">
        <v>4962</v>
      </c>
    </row>
    <row r="2626" spans="1:32" s="608" customFormat="1" x14ac:dyDescent="0.25">
      <c r="A2626" s="624"/>
      <c r="B2626" s="617">
        <v>39139002800</v>
      </c>
      <c r="C2626" s="617" t="s">
        <v>4294</v>
      </c>
      <c r="D2626" s="617" t="s">
        <v>93</v>
      </c>
      <c r="E2626" s="617" t="s">
        <v>4861</v>
      </c>
      <c r="F2626" s="617" t="s">
        <v>26</v>
      </c>
      <c r="G2626" s="624"/>
      <c r="O2626" s="616"/>
      <c r="P2626" s="616"/>
      <c r="Q2626" s="616"/>
      <c r="AA2626" s="624"/>
      <c r="AB2626" s="663">
        <v>39153504700</v>
      </c>
      <c r="AC2626" s="663" t="s">
        <v>7558</v>
      </c>
      <c r="AD2626" s="663" t="s">
        <v>4941</v>
      </c>
      <c r="AE2626" s="663" t="s">
        <v>4934</v>
      </c>
      <c r="AF2626" s="663" t="s">
        <v>4962</v>
      </c>
    </row>
    <row r="2627" spans="1:32" s="608" customFormat="1" x14ac:dyDescent="0.25">
      <c r="A2627" s="624"/>
      <c r="B2627" s="617">
        <v>39139002900</v>
      </c>
      <c r="C2627" s="617" t="s">
        <v>4295</v>
      </c>
      <c r="D2627" s="617" t="s">
        <v>93</v>
      </c>
      <c r="E2627" s="617" t="s">
        <v>4861</v>
      </c>
      <c r="F2627" s="617" t="s">
        <v>26</v>
      </c>
      <c r="G2627" s="624"/>
      <c r="O2627" s="616"/>
      <c r="P2627" s="616"/>
      <c r="Q2627" s="616"/>
      <c r="AA2627" s="624"/>
      <c r="AB2627" s="663">
        <v>39153504800</v>
      </c>
      <c r="AC2627" s="663" t="s">
        <v>7559</v>
      </c>
      <c r="AD2627" s="663" t="s">
        <v>4938</v>
      </c>
      <c r="AE2627" s="663" t="s">
        <v>4928</v>
      </c>
      <c r="AF2627" s="663" t="s">
        <v>4962</v>
      </c>
    </row>
    <row r="2628" spans="1:32" s="608" customFormat="1" x14ac:dyDescent="0.25">
      <c r="A2628" s="624"/>
      <c r="B2628" s="617">
        <v>39139003001</v>
      </c>
      <c r="C2628" s="617" t="s">
        <v>4296</v>
      </c>
      <c r="D2628" s="617" t="s">
        <v>93</v>
      </c>
      <c r="E2628" s="617" t="s">
        <v>4861</v>
      </c>
      <c r="F2628" s="617" t="s">
        <v>26</v>
      </c>
      <c r="G2628" s="624"/>
      <c r="O2628" s="616"/>
      <c r="P2628" s="616"/>
      <c r="Q2628" s="616"/>
      <c r="AA2628" s="624"/>
      <c r="AB2628" s="663">
        <v>39153505200</v>
      </c>
      <c r="AC2628" s="663" t="s">
        <v>7560</v>
      </c>
      <c r="AD2628" s="663" t="s">
        <v>4927</v>
      </c>
      <c r="AE2628" s="663" t="s">
        <v>4928</v>
      </c>
      <c r="AF2628" s="663" t="s">
        <v>4962</v>
      </c>
    </row>
    <row r="2629" spans="1:32" s="608" customFormat="1" x14ac:dyDescent="0.25">
      <c r="A2629" s="624"/>
      <c r="B2629" s="617">
        <v>39139003002</v>
      </c>
      <c r="C2629" s="617" t="s">
        <v>4297</v>
      </c>
      <c r="D2629" s="617" t="s">
        <v>93</v>
      </c>
      <c r="E2629" s="617" t="s">
        <v>4861</v>
      </c>
      <c r="F2629" s="617" t="s">
        <v>26</v>
      </c>
      <c r="G2629" s="624"/>
      <c r="O2629" s="616"/>
      <c r="P2629" s="616"/>
      <c r="Q2629" s="616"/>
      <c r="AA2629" s="624"/>
      <c r="AB2629" s="663">
        <v>39153505300</v>
      </c>
      <c r="AC2629" s="663" t="s">
        <v>7561</v>
      </c>
      <c r="AD2629" s="663" t="s">
        <v>4927</v>
      </c>
      <c r="AE2629" s="663" t="s">
        <v>4928</v>
      </c>
      <c r="AF2629" s="663" t="s">
        <v>4962</v>
      </c>
    </row>
    <row r="2630" spans="1:32" s="608" customFormat="1" x14ac:dyDescent="0.25">
      <c r="A2630" s="624"/>
      <c r="B2630" s="617">
        <v>39139003100</v>
      </c>
      <c r="C2630" s="617" t="s">
        <v>4298</v>
      </c>
      <c r="D2630" s="617" t="s">
        <v>93</v>
      </c>
      <c r="E2630" s="617" t="s">
        <v>4861</v>
      </c>
      <c r="F2630" s="617" t="s">
        <v>24</v>
      </c>
      <c r="G2630" s="624"/>
      <c r="O2630" s="616"/>
      <c r="P2630" s="616"/>
      <c r="Q2630" s="616"/>
      <c r="AA2630" s="624"/>
      <c r="AB2630" s="663">
        <v>39153505400</v>
      </c>
      <c r="AC2630" s="663" t="s">
        <v>7562</v>
      </c>
      <c r="AD2630" s="663" t="s">
        <v>4941</v>
      </c>
      <c r="AE2630" s="663" t="s">
        <v>4931</v>
      </c>
      <c r="AF2630" s="663" t="s">
        <v>4962</v>
      </c>
    </row>
    <row r="2631" spans="1:32" s="608" customFormat="1" x14ac:dyDescent="0.25">
      <c r="A2631" s="624"/>
      <c r="B2631" s="617">
        <v>39141955500</v>
      </c>
      <c r="C2631" s="617" t="s">
        <v>4299</v>
      </c>
      <c r="D2631" s="617" t="s">
        <v>94</v>
      </c>
      <c r="E2631" s="617" t="s">
        <v>1672</v>
      </c>
      <c r="F2631" s="617" t="s">
        <v>26</v>
      </c>
      <c r="G2631" s="624"/>
      <c r="O2631" s="616"/>
      <c r="P2631" s="616"/>
      <c r="Q2631" s="616"/>
      <c r="AA2631" s="624"/>
      <c r="AB2631" s="663">
        <v>39153505500</v>
      </c>
      <c r="AC2631" s="663" t="s">
        <v>7563</v>
      </c>
      <c r="AD2631" s="663" t="s">
        <v>4948</v>
      </c>
      <c r="AE2631" s="663" t="s">
        <v>4928</v>
      </c>
      <c r="AF2631" s="663" t="s">
        <v>4962</v>
      </c>
    </row>
    <row r="2632" spans="1:32" s="608" customFormat="1" x14ac:dyDescent="0.25">
      <c r="A2632" s="624"/>
      <c r="B2632" s="617">
        <v>39141955603</v>
      </c>
      <c r="C2632" s="617" t="s">
        <v>4300</v>
      </c>
      <c r="D2632" s="617" t="s">
        <v>94</v>
      </c>
      <c r="E2632" s="617" t="s">
        <v>1672</v>
      </c>
      <c r="F2632" s="617" t="s">
        <v>26</v>
      </c>
      <c r="G2632" s="624"/>
      <c r="O2632" s="616"/>
      <c r="P2632" s="616"/>
      <c r="Q2632" s="616"/>
      <c r="AA2632" s="624"/>
      <c r="AB2632" s="663">
        <v>39153505600</v>
      </c>
      <c r="AC2632" s="663" t="s">
        <v>7564</v>
      </c>
      <c r="AD2632" s="663" t="s">
        <v>4927</v>
      </c>
      <c r="AE2632" s="663" t="s">
        <v>4939</v>
      </c>
      <c r="AF2632" s="663" t="s">
        <v>4962</v>
      </c>
    </row>
    <row r="2633" spans="1:32" s="608" customFormat="1" x14ac:dyDescent="0.25">
      <c r="A2633" s="624"/>
      <c r="B2633" s="617">
        <v>39141955604</v>
      </c>
      <c r="C2633" s="617" t="s">
        <v>4301</v>
      </c>
      <c r="D2633" s="617" t="s">
        <v>94</v>
      </c>
      <c r="E2633" s="617" t="s">
        <v>1672</v>
      </c>
      <c r="F2633" s="617" t="s">
        <v>26</v>
      </c>
      <c r="G2633" s="624"/>
      <c r="O2633" s="616"/>
      <c r="P2633" s="616"/>
      <c r="Q2633" s="616"/>
      <c r="AA2633" s="624"/>
      <c r="AB2633" s="663">
        <v>39153505700</v>
      </c>
      <c r="AC2633" s="663" t="s">
        <v>7565</v>
      </c>
      <c r="AD2633" s="663" t="s">
        <v>4948</v>
      </c>
      <c r="AE2633" s="663" t="s">
        <v>4942</v>
      </c>
      <c r="AF2633" s="663" t="s">
        <v>4962</v>
      </c>
    </row>
    <row r="2634" spans="1:32" s="608" customFormat="1" x14ac:dyDescent="0.25">
      <c r="A2634" s="624"/>
      <c r="B2634" s="617">
        <v>39141955700</v>
      </c>
      <c r="C2634" s="617" t="s">
        <v>4302</v>
      </c>
      <c r="D2634" s="617" t="s">
        <v>94</v>
      </c>
      <c r="E2634" s="617" t="s">
        <v>1672</v>
      </c>
      <c r="F2634" s="617" t="s">
        <v>26</v>
      </c>
      <c r="G2634" s="624"/>
      <c r="O2634" s="616"/>
      <c r="P2634" s="616"/>
      <c r="Q2634" s="616"/>
      <c r="AA2634" s="624"/>
      <c r="AB2634" s="663">
        <v>39153505800</v>
      </c>
      <c r="AC2634" s="663" t="s">
        <v>7566</v>
      </c>
      <c r="AD2634" s="663" t="s">
        <v>4941</v>
      </c>
      <c r="AE2634" s="663" t="s">
        <v>4934</v>
      </c>
      <c r="AF2634" s="663" t="s">
        <v>4962</v>
      </c>
    </row>
    <row r="2635" spans="1:32" s="608" customFormat="1" x14ac:dyDescent="0.25">
      <c r="A2635" s="624"/>
      <c r="B2635" s="617">
        <v>39141955801</v>
      </c>
      <c r="C2635" s="617" t="s">
        <v>4303</v>
      </c>
      <c r="D2635" s="617" t="s">
        <v>94</v>
      </c>
      <c r="E2635" s="617" t="s">
        <v>1672</v>
      </c>
      <c r="F2635" s="617" t="s">
        <v>26</v>
      </c>
      <c r="G2635" s="624"/>
      <c r="O2635" s="616"/>
      <c r="P2635" s="616"/>
      <c r="Q2635" s="616"/>
      <c r="AA2635" s="624"/>
      <c r="AB2635" s="663">
        <v>39153505900</v>
      </c>
      <c r="AC2635" s="663" t="s">
        <v>7567</v>
      </c>
      <c r="AD2635" s="663" t="s">
        <v>4941</v>
      </c>
      <c r="AE2635" s="663" t="s">
        <v>4942</v>
      </c>
      <c r="AF2635" s="663" t="s">
        <v>4962</v>
      </c>
    </row>
    <row r="2636" spans="1:32" s="608" customFormat="1" x14ac:dyDescent="0.25">
      <c r="A2636" s="624"/>
      <c r="B2636" s="617">
        <v>39141955802</v>
      </c>
      <c r="C2636" s="617" t="s">
        <v>4304</v>
      </c>
      <c r="D2636" s="617" t="s">
        <v>94</v>
      </c>
      <c r="E2636" s="617" t="s">
        <v>1672</v>
      </c>
      <c r="F2636" s="617" t="s">
        <v>26</v>
      </c>
      <c r="G2636" s="624"/>
      <c r="O2636" s="616"/>
      <c r="P2636" s="616"/>
      <c r="Q2636" s="616"/>
      <c r="AA2636" s="624"/>
      <c r="AB2636" s="663">
        <v>39153506100</v>
      </c>
      <c r="AC2636" s="663" t="s">
        <v>7568</v>
      </c>
      <c r="AD2636" s="663" t="s">
        <v>4938</v>
      </c>
      <c r="AE2636" s="663" t="s">
        <v>4939</v>
      </c>
      <c r="AF2636" s="663" t="s">
        <v>4962</v>
      </c>
    </row>
    <row r="2637" spans="1:32" s="608" customFormat="1" x14ac:dyDescent="0.25">
      <c r="A2637" s="624"/>
      <c r="B2637" s="617">
        <v>39141955900</v>
      </c>
      <c r="C2637" s="617" t="s">
        <v>4305</v>
      </c>
      <c r="D2637" s="617" t="s">
        <v>94</v>
      </c>
      <c r="E2637" s="617" t="s">
        <v>1672</v>
      </c>
      <c r="F2637" s="617" t="s">
        <v>26</v>
      </c>
      <c r="G2637" s="624"/>
      <c r="O2637" s="616"/>
      <c r="P2637" s="616"/>
      <c r="Q2637" s="616"/>
      <c r="AA2637" s="624"/>
      <c r="AB2637" s="663">
        <v>39153506200</v>
      </c>
      <c r="AC2637" s="663" t="s">
        <v>7569</v>
      </c>
      <c r="AD2637" s="663" t="s">
        <v>4941</v>
      </c>
      <c r="AE2637" s="663" t="s">
        <v>4934</v>
      </c>
      <c r="AF2637" s="663" t="s">
        <v>4962</v>
      </c>
    </row>
    <row r="2638" spans="1:32" s="608" customFormat="1" x14ac:dyDescent="0.25">
      <c r="A2638" s="624"/>
      <c r="B2638" s="617">
        <v>39141956000</v>
      </c>
      <c r="C2638" s="617" t="s">
        <v>4306</v>
      </c>
      <c r="D2638" s="617" t="s">
        <v>94</v>
      </c>
      <c r="E2638" s="617" t="s">
        <v>1672</v>
      </c>
      <c r="F2638" s="617" t="s">
        <v>26</v>
      </c>
      <c r="G2638" s="624"/>
      <c r="O2638" s="616"/>
      <c r="P2638" s="616"/>
      <c r="Q2638" s="616"/>
      <c r="AA2638" s="624"/>
      <c r="AB2638" s="663">
        <v>39153506400</v>
      </c>
      <c r="AC2638" s="663" t="s">
        <v>7570</v>
      </c>
      <c r="AD2638" s="663" t="s">
        <v>4941</v>
      </c>
      <c r="AE2638" s="663" t="s">
        <v>4931</v>
      </c>
      <c r="AF2638" s="663" t="s">
        <v>4962</v>
      </c>
    </row>
    <row r="2639" spans="1:32" s="608" customFormat="1" x14ac:dyDescent="0.25">
      <c r="A2639" s="624"/>
      <c r="B2639" s="617">
        <v>39141956100</v>
      </c>
      <c r="C2639" s="617" t="s">
        <v>4307</v>
      </c>
      <c r="D2639" s="617" t="s">
        <v>94</v>
      </c>
      <c r="E2639" s="617" t="s">
        <v>1672</v>
      </c>
      <c r="F2639" s="617" t="s">
        <v>26</v>
      </c>
      <c r="G2639" s="624"/>
      <c r="O2639" s="616"/>
      <c r="P2639" s="616"/>
      <c r="Q2639" s="616"/>
      <c r="AA2639" s="624"/>
      <c r="AB2639" s="663">
        <v>39153506500</v>
      </c>
      <c r="AC2639" s="663" t="s">
        <v>7571</v>
      </c>
      <c r="AD2639" s="663" t="s">
        <v>4927</v>
      </c>
      <c r="AE2639" s="663" t="s">
        <v>4931</v>
      </c>
      <c r="AF2639" s="663" t="s">
        <v>4962</v>
      </c>
    </row>
    <row r="2640" spans="1:32" s="608" customFormat="1" x14ac:dyDescent="0.25">
      <c r="A2640" s="624"/>
      <c r="B2640" s="617">
        <v>39141956200</v>
      </c>
      <c r="C2640" s="617" t="s">
        <v>4308</v>
      </c>
      <c r="D2640" s="617" t="s">
        <v>94</v>
      </c>
      <c r="E2640" s="617" t="s">
        <v>1672</v>
      </c>
      <c r="F2640" s="617" t="s">
        <v>26</v>
      </c>
      <c r="G2640" s="624"/>
      <c r="O2640" s="616"/>
      <c r="P2640" s="616"/>
      <c r="Q2640" s="616"/>
      <c r="AA2640" s="624"/>
      <c r="AB2640" s="663">
        <v>39153506600</v>
      </c>
      <c r="AC2640" s="663" t="s">
        <v>7572</v>
      </c>
      <c r="AD2640" s="663" t="s">
        <v>4948</v>
      </c>
      <c r="AE2640" s="663" t="s">
        <v>4928</v>
      </c>
      <c r="AF2640" s="663" t="s">
        <v>4962</v>
      </c>
    </row>
    <row r="2641" spans="1:32" s="608" customFormat="1" x14ac:dyDescent="0.25">
      <c r="A2641" s="624"/>
      <c r="B2641" s="617">
        <v>39141956300</v>
      </c>
      <c r="C2641" s="617" t="s">
        <v>4309</v>
      </c>
      <c r="D2641" s="617" t="s">
        <v>94</v>
      </c>
      <c r="E2641" s="617" t="s">
        <v>1672</v>
      </c>
      <c r="F2641" s="617" t="s">
        <v>26</v>
      </c>
      <c r="G2641" s="624"/>
      <c r="O2641" s="616"/>
      <c r="P2641" s="616"/>
      <c r="Q2641" s="616"/>
      <c r="AA2641" s="624"/>
      <c r="AB2641" s="663">
        <v>39153506700</v>
      </c>
      <c r="AC2641" s="663" t="s">
        <v>7573</v>
      </c>
      <c r="AD2641" s="663" t="s">
        <v>4927</v>
      </c>
      <c r="AE2641" s="663" t="s">
        <v>4942</v>
      </c>
      <c r="AF2641" s="663" t="s">
        <v>4962</v>
      </c>
    </row>
    <row r="2642" spans="1:32" s="608" customFormat="1" x14ac:dyDescent="0.25">
      <c r="A2642" s="624"/>
      <c r="B2642" s="617">
        <v>39141956400</v>
      </c>
      <c r="C2642" s="617" t="s">
        <v>4310</v>
      </c>
      <c r="D2642" s="617" t="s">
        <v>94</v>
      </c>
      <c r="E2642" s="617" t="s">
        <v>1672</v>
      </c>
      <c r="F2642" s="617" t="s">
        <v>24</v>
      </c>
      <c r="G2642" s="624"/>
      <c r="O2642" s="616"/>
      <c r="P2642" s="616"/>
      <c r="Q2642" s="616"/>
      <c r="AA2642" s="624"/>
      <c r="AB2642" s="663">
        <v>39153506800</v>
      </c>
      <c r="AC2642" s="663" t="s">
        <v>7574</v>
      </c>
      <c r="AD2642" s="663" t="s">
        <v>4941</v>
      </c>
      <c r="AE2642" s="663" t="s">
        <v>4934</v>
      </c>
      <c r="AF2642" s="663" t="s">
        <v>4962</v>
      </c>
    </row>
    <row r="2643" spans="1:32" s="608" customFormat="1" x14ac:dyDescent="0.25">
      <c r="A2643" s="624"/>
      <c r="B2643" s="617">
        <v>39141956500</v>
      </c>
      <c r="C2643" s="617" t="s">
        <v>4311</v>
      </c>
      <c r="D2643" s="617" t="s">
        <v>94</v>
      </c>
      <c r="E2643" s="617" t="s">
        <v>1672</v>
      </c>
      <c r="F2643" s="617" t="s">
        <v>24</v>
      </c>
      <c r="G2643" s="624"/>
      <c r="O2643" s="616"/>
      <c r="P2643" s="616"/>
      <c r="Q2643" s="616"/>
      <c r="AA2643" s="624"/>
      <c r="AB2643" s="663">
        <v>39153507101</v>
      </c>
      <c r="AC2643" s="663" t="s">
        <v>7575</v>
      </c>
      <c r="AD2643" s="663" t="s">
        <v>4927</v>
      </c>
      <c r="AE2643" s="663" t="s">
        <v>4928</v>
      </c>
      <c r="AF2643" s="663" t="s">
        <v>4946</v>
      </c>
    </row>
    <row r="2644" spans="1:32" s="608" customFormat="1" x14ac:dyDescent="0.25">
      <c r="A2644" s="624"/>
      <c r="B2644" s="617">
        <v>39141956600</v>
      </c>
      <c r="C2644" s="617" t="s">
        <v>4312</v>
      </c>
      <c r="D2644" s="617" t="s">
        <v>94</v>
      </c>
      <c r="E2644" s="617" t="s">
        <v>1672</v>
      </c>
      <c r="F2644" s="617" t="s">
        <v>26</v>
      </c>
      <c r="G2644" s="624"/>
      <c r="O2644" s="616"/>
      <c r="P2644" s="616"/>
      <c r="Q2644" s="616"/>
      <c r="AA2644" s="624"/>
      <c r="AB2644" s="663">
        <v>39153507102</v>
      </c>
      <c r="AC2644" s="663" t="s">
        <v>7576</v>
      </c>
      <c r="AD2644" s="663" t="s">
        <v>4941</v>
      </c>
      <c r="AE2644" s="663" t="s">
        <v>4931</v>
      </c>
      <c r="AF2644" s="663" t="s">
        <v>4946</v>
      </c>
    </row>
    <row r="2645" spans="1:32" s="608" customFormat="1" x14ac:dyDescent="0.25">
      <c r="A2645" s="624"/>
      <c r="B2645" s="617">
        <v>39141956700</v>
      </c>
      <c r="C2645" s="617" t="s">
        <v>4313</v>
      </c>
      <c r="D2645" s="617" t="s">
        <v>94</v>
      </c>
      <c r="E2645" s="617" t="s">
        <v>1672</v>
      </c>
      <c r="F2645" s="617" t="s">
        <v>26</v>
      </c>
      <c r="G2645" s="624"/>
      <c r="O2645" s="616"/>
      <c r="P2645" s="616"/>
      <c r="Q2645" s="616"/>
      <c r="AA2645" s="624"/>
      <c r="AB2645" s="663">
        <v>39153507201</v>
      </c>
      <c r="AC2645" s="663" t="s">
        <v>7577</v>
      </c>
      <c r="AD2645" s="663" t="s">
        <v>4950</v>
      </c>
      <c r="AE2645" s="663" t="s">
        <v>4928</v>
      </c>
      <c r="AF2645" s="663" t="s">
        <v>4946</v>
      </c>
    </row>
    <row r="2646" spans="1:32" s="608" customFormat="1" x14ac:dyDescent="0.25">
      <c r="A2646" s="624"/>
      <c r="B2646" s="617">
        <v>39141956800</v>
      </c>
      <c r="C2646" s="617" t="s">
        <v>4314</v>
      </c>
      <c r="D2646" s="617" t="s">
        <v>94</v>
      </c>
      <c r="E2646" s="617" t="s">
        <v>1672</v>
      </c>
      <c r="F2646" s="617" t="s">
        <v>26</v>
      </c>
      <c r="G2646" s="624"/>
      <c r="O2646" s="616"/>
      <c r="P2646" s="616"/>
      <c r="Q2646" s="616"/>
      <c r="AA2646" s="624"/>
      <c r="AB2646" s="663">
        <v>39153507202</v>
      </c>
      <c r="AC2646" s="663" t="s">
        <v>7578</v>
      </c>
      <c r="AD2646" s="663" t="s">
        <v>4938</v>
      </c>
      <c r="AE2646" s="663" t="s">
        <v>4931</v>
      </c>
      <c r="AF2646" s="663" t="s">
        <v>4962</v>
      </c>
    </row>
    <row r="2647" spans="1:32" s="608" customFormat="1" x14ac:dyDescent="0.25">
      <c r="A2647" s="624"/>
      <c r="B2647" s="617">
        <v>39141956900</v>
      </c>
      <c r="C2647" s="617" t="s">
        <v>4315</v>
      </c>
      <c r="D2647" s="617" t="s">
        <v>94</v>
      </c>
      <c r="E2647" s="617" t="s">
        <v>1672</v>
      </c>
      <c r="F2647" s="617" t="s">
        <v>24</v>
      </c>
      <c r="G2647" s="624"/>
      <c r="O2647" s="616"/>
      <c r="P2647" s="616"/>
      <c r="Q2647" s="616"/>
      <c r="AA2647" s="624"/>
      <c r="AB2647" s="663">
        <v>39153507203</v>
      </c>
      <c r="AC2647" s="663" t="s">
        <v>7579</v>
      </c>
      <c r="AD2647" s="663" t="s">
        <v>4941</v>
      </c>
      <c r="AE2647" s="663" t="s">
        <v>4931</v>
      </c>
      <c r="AF2647" s="663" t="s">
        <v>4946</v>
      </c>
    </row>
    <row r="2648" spans="1:32" s="608" customFormat="1" x14ac:dyDescent="0.25">
      <c r="A2648" s="624"/>
      <c r="B2648" s="617">
        <v>39143960800</v>
      </c>
      <c r="C2648" s="617" t="s">
        <v>4316</v>
      </c>
      <c r="D2648" s="617" t="s">
        <v>95</v>
      </c>
      <c r="E2648" s="617" t="s">
        <v>1672</v>
      </c>
      <c r="F2648" s="617" t="s">
        <v>26</v>
      </c>
      <c r="G2648" s="624"/>
      <c r="O2648" s="616"/>
      <c r="P2648" s="616"/>
      <c r="Q2648" s="616"/>
      <c r="AA2648" s="624"/>
      <c r="AB2648" s="663">
        <v>39153507300</v>
      </c>
      <c r="AC2648" s="663" t="s">
        <v>7580</v>
      </c>
      <c r="AD2648" s="663" t="s">
        <v>4938</v>
      </c>
      <c r="AE2648" s="663" t="s">
        <v>4934</v>
      </c>
      <c r="AF2648" s="663" t="s">
        <v>4962</v>
      </c>
    </row>
    <row r="2649" spans="1:32" s="608" customFormat="1" x14ac:dyDescent="0.25">
      <c r="A2649" s="624"/>
      <c r="B2649" s="617">
        <v>39143960900</v>
      </c>
      <c r="C2649" s="617" t="s">
        <v>4317</v>
      </c>
      <c r="D2649" s="617" t="s">
        <v>95</v>
      </c>
      <c r="E2649" s="617" t="s">
        <v>1672</v>
      </c>
      <c r="F2649" s="617" t="s">
        <v>26</v>
      </c>
      <c r="G2649" s="624"/>
      <c r="O2649" s="616"/>
      <c r="P2649" s="616"/>
      <c r="Q2649" s="616"/>
      <c r="AA2649" s="624"/>
      <c r="AB2649" s="663">
        <v>39153507400</v>
      </c>
      <c r="AC2649" s="663" t="s">
        <v>7581</v>
      </c>
      <c r="AD2649" s="663" t="s">
        <v>4941</v>
      </c>
      <c r="AE2649" s="663" t="s">
        <v>4939</v>
      </c>
      <c r="AF2649" s="663" t="s">
        <v>4962</v>
      </c>
    </row>
    <row r="2650" spans="1:32" s="608" customFormat="1" x14ac:dyDescent="0.25">
      <c r="A2650" s="624"/>
      <c r="B2650" s="617">
        <v>39143961000</v>
      </c>
      <c r="C2650" s="617" t="s">
        <v>4318</v>
      </c>
      <c r="D2650" s="617" t="s">
        <v>95</v>
      </c>
      <c r="E2650" s="617" t="s">
        <v>1672</v>
      </c>
      <c r="F2650" s="617" t="s">
        <v>26</v>
      </c>
      <c r="G2650" s="624"/>
      <c r="O2650" s="616"/>
      <c r="P2650" s="616"/>
      <c r="Q2650" s="616"/>
      <c r="AA2650" s="624"/>
      <c r="AB2650" s="663">
        <v>39153507500</v>
      </c>
      <c r="AC2650" s="663" t="s">
        <v>7582</v>
      </c>
      <c r="AD2650" s="663" t="s">
        <v>4941</v>
      </c>
      <c r="AE2650" s="663" t="s">
        <v>4934</v>
      </c>
      <c r="AF2650" s="663" t="s">
        <v>4962</v>
      </c>
    </row>
    <row r="2651" spans="1:32" s="608" customFormat="1" x14ac:dyDescent="0.25">
      <c r="A2651" s="624"/>
      <c r="B2651" s="617">
        <v>39143961100</v>
      </c>
      <c r="C2651" s="617" t="s">
        <v>4319</v>
      </c>
      <c r="D2651" s="617" t="s">
        <v>95</v>
      </c>
      <c r="E2651" s="617" t="s">
        <v>1672</v>
      </c>
      <c r="F2651" s="617" t="s">
        <v>26</v>
      </c>
      <c r="G2651" s="624"/>
      <c r="O2651" s="616"/>
      <c r="P2651" s="616"/>
      <c r="Q2651" s="616"/>
      <c r="AA2651" s="624"/>
      <c r="AB2651" s="663">
        <v>39153507600</v>
      </c>
      <c r="AC2651" s="663" t="s">
        <v>7583</v>
      </c>
      <c r="AD2651" s="663" t="s">
        <v>4938</v>
      </c>
      <c r="AE2651" s="663" t="s">
        <v>4934</v>
      </c>
      <c r="AF2651" s="663" t="s">
        <v>4962</v>
      </c>
    </row>
    <row r="2652" spans="1:32" s="608" customFormat="1" x14ac:dyDescent="0.25">
      <c r="A2652" s="624"/>
      <c r="B2652" s="617">
        <v>39143961200</v>
      </c>
      <c r="C2652" s="617" t="s">
        <v>4320</v>
      </c>
      <c r="D2652" s="617" t="s">
        <v>95</v>
      </c>
      <c r="E2652" s="617" t="s">
        <v>1672</v>
      </c>
      <c r="F2652" s="617" t="s">
        <v>26</v>
      </c>
      <c r="G2652" s="624"/>
      <c r="O2652" s="616"/>
      <c r="P2652" s="616"/>
      <c r="Q2652" s="616"/>
      <c r="AA2652" s="624"/>
      <c r="AB2652" s="663">
        <v>39153508000</v>
      </c>
      <c r="AC2652" s="663" t="s">
        <v>7584</v>
      </c>
      <c r="AD2652" s="663" t="s">
        <v>4948</v>
      </c>
      <c r="AE2652" s="663" t="s">
        <v>4942</v>
      </c>
      <c r="AF2652" s="663" t="s">
        <v>4946</v>
      </c>
    </row>
    <row r="2653" spans="1:32" s="608" customFormat="1" x14ac:dyDescent="0.25">
      <c r="A2653" s="624"/>
      <c r="B2653" s="617">
        <v>39143961300</v>
      </c>
      <c r="C2653" s="617" t="s">
        <v>4321</v>
      </c>
      <c r="D2653" s="617" t="s">
        <v>95</v>
      </c>
      <c r="E2653" s="617" t="s">
        <v>1672</v>
      </c>
      <c r="F2653" s="617" t="s">
        <v>26</v>
      </c>
      <c r="G2653" s="624"/>
      <c r="O2653" s="616"/>
      <c r="P2653" s="616"/>
      <c r="Q2653" s="616"/>
      <c r="AA2653" s="624"/>
      <c r="AB2653" s="663">
        <v>39153508301</v>
      </c>
      <c r="AC2653" s="663" t="s">
        <v>7585</v>
      </c>
      <c r="AD2653" s="663" t="s">
        <v>4941</v>
      </c>
      <c r="AE2653" s="663" t="s">
        <v>4939</v>
      </c>
      <c r="AF2653" s="663" t="s">
        <v>4962</v>
      </c>
    </row>
    <row r="2654" spans="1:32" s="608" customFormat="1" x14ac:dyDescent="0.25">
      <c r="A2654" s="624"/>
      <c r="B2654" s="617">
        <v>39143961400</v>
      </c>
      <c r="C2654" s="617" t="s">
        <v>4322</v>
      </c>
      <c r="D2654" s="617" t="s">
        <v>95</v>
      </c>
      <c r="E2654" s="617" t="s">
        <v>1672</v>
      </c>
      <c r="F2654" s="617" t="s">
        <v>26</v>
      </c>
      <c r="G2654" s="624"/>
      <c r="O2654" s="616"/>
      <c r="P2654" s="616"/>
      <c r="Q2654" s="616"/>
      <c r="AA2654" s="624"/>
      <c r="AB2654" s="663">
        <v>39153508399</v>
      </c>
      <c r="AC2654" s="663" t="s">
        <v>7586</v>
      </c>
      <c r="AD2654" s="663" t="s">
        <v>4927</v>
      </c>
      <c r="AE2654" s="663" t="s">
        <v>5006</v>
      </c>
      <c r="AF2654" s="663" t="s">
        <v>4946</v>
      </c>
    </row>
    <row r="2655" spans="1:32" s="608" customFormat="1" x14ac:dyDescent="0.25">
      <c r="A2655" s="624"/>
      <c r="B2655" s="617">
        <v>39143961500</v>
      </c>
      <c r="C2655" s="617" t="s">
        <v>4323</v>
      </c>
      <c r="D2655" s="617" t="s">
        <v>95</v>
      </c>
      <c r="E2655" s="617" t="s">
        <v>1672</v>
      </c>
      <c r="F2655" s="617" t="s">
        <v>26</v>
      </c>
      <c r="G2655" s="624"/>
      <c r="O2655" s="616"/>
      <c r="P2655" s="616"/>
      <c r="Q2655" s="616"/>
      <c r="AA2655" s="624"/>
      <c r="AB2655" s="663">
        <v>39153508600</v>
      </c>
      <c r="AC2655" s="663" t="s">
        <v>7587</v>
      </c>
      <c r="AD2655" s="663" t="s">
        <v>4950</v>
      </c>
      <c r="AE2655" s="663" t="s">
        <v>4942</v>
      </c>
      <c r="AF2655" s="663" t="s">
        <v>4962</v>
      </c>
    </row>
    <row r="2656" spans="1:32" s="608" customFormat="1" x14ac:dyDescent="0.25">
      <c r="A2656" s="624"/>
      <c r="B2656" s="617">
        <v>39143961600</v>
      </c>
      <c r="C2656" s="617" t="s">
        <v>4324</v>
      </c>
      <c r="D2656" s="617" t="s">
        <v>95</v>
      </c>
      <c r="E2656" s="617" t="s">
        <v>1672</v>
      </c>
      <c r="F2656" s="617" t="s">
        <v>24</v>
      </c>
      <c r="G2656" s="624"/>
      <c r="O2656" s="616"/>
      <c r="P2656" s="616"/>
      <c r="Q2656" s="616"/>
      <c r="AA2656" s="624"/>
      <c r="AB2656" s="663">
        <v>39153508800</v>
      </c>
      <c r="AC2656" s="663" t="s">
        <v>7588</v>
      </c>
      <c r="AD2656" s="663" t="s">
        <v>4927</v>
      </c>
      <c r="AE2656" s="663" t="s">
        <v>4928</v>
      </c>
      <c r="AF2656" s="663" t="s">
        <v>4962</v>
      </c>
    </row>
    <row r="2657" spans="1:32" s="608" customFormat="1" x14ac:dyDescent="0.25">
      <c r="A2657" s="624"/>
      <c r="B2657" s="617">
        <v>39143961700</v>
      </c>
      <c r="C2657" s="617" t="s">
        <v>4325</v>
      </c>
      <c r="D2657" s="617" t="s">
        <v>95</v>
      </c>
      <c r="E2657" s="617" t="s">
        <v>1672</v>
      </c>
      <c r="F2657" s="617" t="s">
        <v>26</v>
      </c>
      <c r="G2657" s="624"/>
      <c r="O2657" s="616"/>
      <c r="P2657" s="616"/>
      <c r="Q2657" s="616"/>
      <c r="AA2657" s="624"/>
      <c r="AB2657" s="663">
        <v>39153508900</v>
      </c>
      <c r="AC2657" s="663" t="s">
        <v>7589</v>
      </c>
      <c r="AD2657" s="663" t="s">
        <v>4941</v>
      </c>
      <c r="AE2657" s="663" t="s">
        <v>4942</v>
      </c>
      <c r="AF2657" s="663" t="s">
        <v>4962</v>
      </c>
    </row>
    <row r="2658" spans="1:32" s="608" customFormat="1" x14ac:dyDescent="0.25">
      <c r="A2658" s="624"/>
      <c r="B2658" s="617">
        <v>39143961800</v>
      </c>
      <c r="C2658" s="617" t="s">
        <v>4326</v>
      </c>
      <c r="D2658" s="617" t="s">
        <v>95</v>
      </c>
      <c r="E2658" s="617" t="s">
        <v>1672</v>
      </c>
      <c r="F2658" s="617" t="s">
        <v>26</v>
      </c>
      <c r="G2658" s="624"/>
      <c r="O2658" s="616"/>
      <c r="P2658" s="616"/>
      <c r="Q2658" s="616"/>
      <c r="AA2658" s="624"/>
      <c r="AB2658" s="663">
        <v>39153509000</v>
      </c>
      <c r="AC2658" s="663" t="s">
        <v>7590</v>
      </c>
      <c r="AD2658" s="663" t="s">
        <v>4948</v>
      </c>
      <c r="AE2658" s="663" t="s">
        <v>4931</v>
      </c>
      <c r="AF2658" s="663" t="s">
        <v>4962</v>
      </c>
    </row>
    <row r="2659" spans="1:32" s="608" customFormat="1" x14ac:dyDescent="0.25">
      <c r="A2659" s="624"/>
      <c r="B2659" s="617">
        <v>39143961900</v>
      </c>
      <c r="C2659" s="617" t="s">
        <v>4327</v>
      </c>
      <c r="D2659" s="617" t="s">
        <v>95</v>
      </c>
      <c r="E2659" s="617" t="s">
        <v>1672</v>
      </c>
      <c r="F2659" s="617" t="s">
        <v>26</v>
      </c>
      <c r="G2659" s="624"/>
      <c r="O2659" s="616"/>
      <c r="P2659" s="616"/>
      <c r="Q2659" s="616"/>
      <c r="AA2659" s="624"/>
      <c r="AB2659" s="663">
        <v>39153510100</v>
      </c>
      <c r="AC2659" s="663" t="s">
        <v>7591</v>
      </c>
      <c r="AD2659" s="663" t="s">
        <v>4927</v>
      </c>
      <c r="AE2659" s="663" t="s">
        <v>4934</v>
      </c>
      <c r="AF2659" s="663" t="s">
        <v>4946</v>
      </c>
    </row>
    <row r="2660" spans="1:32" s="608" customFormat="1" x14ac:dyDescent="0.25">
      <c r="A2660" s="624"/>
      <c r="B2660" s="617">
        <v>39143962000</v>
      </c>
      <c r="C2660" s="617" t="s">
        <v>4328</v>
      </c>
      <c r="D2660" s="617" t="s">
        <v>95</v>
      </c>
      <c r="E2660" s="617" t="s">
        <v>1672</v>
      </c>
      <c r="F2660" s="617" t="s">
        <v>26</v>
      </c>
      <c r="G2660" s="624"/>
      <c r="O2660" s="616"/>
      <c r="P2660" s="616"/>
      <c r="Q2660" s="616"/>
      <c r="AA2660" s="624"/>
      <c r="AB2660" s="663">
        <v>39153510200</v>
      </c>
      <c r="AC2660" s="663" t="s">
        <v>7592</v>
      </c>
      <c r="AD2660" s="663" t="s">
        <v>4950</v>
      </c>
      <c r="AE2660" s="663" t="s">
        <v>4934</v>
      </c>
      <c r="AF2660" s="663" t="s">
        <v>4946</v>
      </c>
    </row>
    <row r="2661" spans="1:32" s="608" customFormat="1" x14ac:dyDescent="0.25">
      <c r="A2661" s="624"/>
      <c r="B2661" s="617">
        <v>39143962100</v>
      </c>
      <c r="C2661" s="617" t="s">
        <v>4329</v>
      </c>
      <c r="D2661" s="617" t="s">
        <v>95</v>
      </c>
      <c r="E2661" s="617" t="s">
        <v>1672</v>
      </c>
      <c r="F2661" s="617" t="s">
        <v>26</v>
      </c>
      <c r="G2661" s="624"/>
      <c r="O2661" s="616"/>
      <c r="P2661" s="616"/>
      <c r="Q2661" s="616"/>
      <c r="AA2661" s="624"/>
      <c r="AB2661" s="663">
        <v>39153510301</v>
      </c>
      <c r="AC2661" s="663" t="s">
        <v>7593</v>
      </c>
      <c r="AD2661" s="663" t="s">
        <v>4927</v>
      </c>
      <c r="AE2661" s="663" t="s">
        <v>4942</v>
      </c>
      <c r="AF2661" s="663" t="s">
        <v>4946</v>
      </c>
    </row>
    <row r="2662" spans="1:32" s="608" customFormat="1" x14ac:dyDescent="0.25">
      <c r="A2662" s="624"/>
      <c r="B2662" s="617">
        <v>39143962200</v>
      </c>
      <c r="C2662" s="617" t="s">
        <v>4330</v>
      </c>
      <c r="D2662" s="617" t="s">
        <v>95</v>
      </c>
      <c r="E2662" s="617" t="s">
        <v>1672</v>
      </c>
      <c r="F2662" s="617" t="s">
        <v>26</v>
      </c>
      <c r="G2662" s="624"/>
      <c r="O2662" s="616"/>
      <c r="P2662" s="616"/>
      <c r="Q2662" s="616"/>
      <c r="AA2662" s="624"/>
      <c r="AB2662" s="663">
        <v>39153510302</v>
      </c>
      <c r="AC2662" s="663" t="s">
        <v>7594</v>
      </c>
      <c r="AD2662" s="663" t="s">
        <v>4948</v>
      </c>
      <c r="AE2662" s="663" t="s">
        <v>4931</v>
      </c>
      <c r="AF2662" s="663" t="s">
        <v>4946</v>
      </c>
    </row>
    <row r="2663" spans="1:32" s="608" customFormat="1" x14ac:dyDescent="0.25">
      <c r="A2663" s="624"/>
      <c r="B2663" s="617">
        <v>39145002100</v>
      </c>
      <c r="C2663" s="617" t="s">
        <v>4331</v>
      </c>
      <c r="D2663" s="617" t="s">
        <v>96</v>
      </c>
      <c r="E2663" s="617" t="s">
        <v>1672</v>
      </c>
      <c r="F2663" s="617" t="s">
        <v>26</v>
      </c>
      <c r="G2663" s="624"/>
      <c r="O2663" s="616"/>
      <c r="P2663" s="616"/>
      <c r="Q2663" s="616"/>
      <c r="AA2663" s="624"/>
      <c r="AB2663" s="663">
        <v>39153510400</v>
      </c>
      <c r="AC2663" s="663" t="s">
        <v>7595</v>
      </c>
      <c r="AD2663" s="663" t="s">
        <v>4950</v>
      </c>
      <c r="AE2663" s="663" t="s">
        <v>4934</v>
      </c>
      <c r="AF2663" s="663" t="s">
        <v>4946</v>
      </c>
    </row>
    <row r="2664" spans="1:32" s="608" customFormat="1" x14ac:dyDescent="0.25">
      <c r="A2664" s="624"/>
      <c r="B2664" s="617">
        <v>39145002200</v>
      </c>
      <c r="C2664" s="617" t="s">
        <v>4332</v>
      </c>
      <c r="D2664" s="617" t="s">
        <v>96</v>
      </c>
      <c r="E2664" s="617" t="s">
        <v>1672</v>
      </c>
      <c r="F2664" s="617" t="s">
        <v>26</v>
      </c>
      <c r="G2664" s="624"/>
      <c r="O2664" s="616"/>
      <c r="P2664" s="616"/>
      <c r="Q2664" s="616"/>
      <c r="AA2664" s="624"/>
      <c r="AB2664" s="663">
        <v>39153510500</v>
      </c>
      <c r="AC2664" s="663" t="s">
        <v>7596</v>
      </c>
      <c r="AD2664" s="663" t="s">
        <v>4927</v>
      </c>
      <c r="AE2664" s="663" t="s">
        <v>4928</v>
      </c>
      <c r="AF2664" s="663" t="s">
        <v>4946</v>
      </c>
    </row>
    <row r="2665" spans="1:32" s="608" customFormat="1" x14ac:dyDescent="0.25">
      <c r="A2665" s="624"/>
      <c r="B2665" s="617">
        <v>39145002300</v>
      </c>
      <c r="C2665" s="617" t="s">
        <v>4333</v>
      </c>
      <c r="D2665" s="617" t="s">
        <v>96</v>
      </c>
      <c r="E2665" s="617" t="s">
        <v>1672</v>
      </c>
      <c r="F2665" s="617" t="s">
        <v>26</v>
      </c>
      <c r="G2665" s="624"/>
      <c r="O2665" s="616"/>
      <c r="P2665" s="616"/>
      <c r="Q2665" s="616"/>
      <c r="AA2665" s="624"/>
      <c r="AB2665" s="663">
        <v>39153520103</v>
      </c>
      <c r="AC2665" s="663" t="s">
        <v>7597</v>
      </c>
      <c r="AD2665" s="663" t="s">
        <v>4950</v>
      </c>
      <c r="AE2665" s="663" t="s">
        <v>4931</v>
      </c>
      <c r="AF2665" s="663" t="s">
        <v>4946</v>
      </c>
    </row>
    <row r="2666" spans="1:32" s="608" customFormat="1" x14ac:dyDescent="0.25">
      <c r="A2666" s="624"/>
      <c r="B2666" s="617">
        <v>39145002400</v>
      </c>
      <c r="C2666" s="617" t="s">
        <v>4334</v>
      </c>
      <c r="D2666" s="617" t="s">
        <v>96</v>
      </c>
      <c r="E2666" s="617" t="s">
        <v>1672</v>
      </c>
      <c r="F2666" s="617" t="s">
        <v>26</v>
      </c>
      <c r="G2666" s="624"/>
      <c r="O2666" s="616"/>
      <c r="P2666" s="616"/>
      <c r="Q2666" s="616"/>
      <c r="AA2666" s="624"/>
      <c r="AB2666" s="663">
        <v>39153520104</v>
      </c>
      <c r="AC2666" s="663" t="s">
        <v>7598</v>
      </c>
      <c r="AD2666" s="663" t="s">
        <v>4948</v>
      </c>
      <c r="AE2666" s="663" t="s">
        <v>4931</v>
      </c>
      <c r="AF2666" s="663" t="s">
        <v>4946</v>
      </c>
    </row>
    <row r="2667" spans="1:32" s="608" customFormat="1" x14ac:dyDescent="0.25">
      <c r="A2667" s="624"/>
      <c r="B2667" s="617">
        <v>39145002500</v>
      </c>
      <c r="C2667" s="617" t="s">
        <v>4335</v>
      </c>
      <c r="D2667" s="617" t="s">
        <v>96</v>
      </c>
      <c r="E2667" s="617" t="s">
        <v>1672</v>
      </c>
      <c r="F2667" s="617" t="s">
        <v>26</v>
      </c>
      <c r="G2667" s="624"/>
      <c r="O2667" s="616"/>
      <c r="P2667" s="616"/>
      <c r="Q2667" s="616"/>
      <c r="AA2667" s="624"/>
      <c r="AB2667" s="663">
        <v>39153520105</v>
      </c>
      <c r="AC2667" s="663" t="s">
        <v>7599</v>
      </c>
      <c r="AD2667" s="663" t="s">
        <v>4950</v>
      </c>
      <c r="AE2667" s="663" t="s">
        <v>4934</v>
      </c>
      <c r="AF2667" s="663" t="s">
        <v>4946</v>
      </c>
    </row>
    <row r="2668" spans="1:32" s="608" customFormat="1" x14ac:dyDescent="0.25">
      <c r="A2668" s="624"/>
      <c r="B2668" s="617">
        <v>39145002600</v>
      </c>
      <c r="C2668" s="617" t="s">
        <v>4336</v>
      </c>
      <c r="D2668" s="617" t="s">
        <v>96</v>
      </c>
      <c r="E2668" s="617" t="s">
        <v>1672</v>
      </c>
      <c r="F2668" s="617" t="s">
        <v>26</v>
      </c>
      <c r="G2668" s="624"/>
      <c r="O2668" s="616"/>
      <c r="P2668" s="616"/>
      <c r="Q2668" s="616"/>
      <c r="AA2668" s="624"/>
      <c r="AB2668" s="663">
        <v>39153520106</v>
      </c>
      <c r="AC2668" s="663" t="s">
        <v>7600</v>
      </c>
      <c r="AD2668" s="663" t="s">
        <v>4948</v>
      </c>
      <c r="AE2668" s="663" t="s">
        <v>4942</v>
      </c>
      <c r="AF2668" s="663" t="s">
        <v>4946</v>
      </c>
    </row>
    <row r="2669" spans="1:32" s="608" customFormat="1" x14ac:dyDescent="0.25">
      <c r="A2669" s="624"/>
      <c r="B2669" s="617">
        <v>39145002700</v>
      </c>
      <c r="C2669" s="617" t="s">
        <v>4337</v>
      </c>
      <c r="D2669" s="617" t="s">
        <v>96</v>
      </c>
      <c r="E2669" s="617" t="s">
        <v>1672</v>
      </c>
      <c r="F2669" s="617" t="s">
        <v>26</v>
      </c>
      <c r="G2669" s="624"/>
      <c r="O2669" s="616"/>
      <c r="P2669" s="616"/>
      <c r="Q2669" s="616"/>
      <c r="AA2669" s="624"/>
      <c r="AB2669" s="663">
        <v>39153520201</v>
      </c>
      <c r="AC2669" s="663" t="s">
        <v>7601</v>
      </c>
      <c r="AD2669" s="663" t="s">
        <v>4941</v>
      </c>
      <c r="AE2669" s="663" t="s">
        <v>4934</v>
      </c>
      <c r="AF2669" s="663" t="s">
        <v>4946</v>
      </c>
    </row>
    <row r="2670" spans="1:32" s="608" customFormat="1" x14ac:dyDescent="0.25">
      <c r="A2670" s="624"/>
      <c r="B2670" s="617">
        <v>39145002800</v>
      </c>
      <c r="C2670" s="617" t="s">
        <v>4338</v>
      </c>
      <c r="D2670" s="617" t="s">
        <v>96</v>
      </c>
      <c r="E2670" s="617" t="s">
        <v>1672</v>
      </c>
      <c r="F2670" s="617" t="s">
        <v>26</v>
      </c>
      <c r="G2670" s="624"/>
      <c r="O2670" s="616"/>
      <c r="P2670" s="616"/>
      <c r="Q2670" s="616"/>
      <c r="AA2670" s="624"/>
      <c r="AB2670" s="663">
        <v>39153520202</v>
      </c>
      <c r="AC2670" s="663" t="s">
        <v>7602</v>
      </c>
      <c r="AD2670" s="663" t="s">
        <v>4950</v>
      </c>
      <c r="AE2670" s="663" t="s">
        <v>4939</v>
      </c>
      <c r="AF2670" s="663" t="s">
        <v>4946</v>
      </c>
    </row>
    <row r="2671" spans="1:32" s="608" customFormat="1" x14ac:dyDescent="0.25">
      <c r="A2671" s="624"/>
      <c r="B2671" s="617">
        <v>39145002901</v>
      </c>
      <c r="C2671" s="617" t="s">
        <v>4339</v>
      </c>
      <c r="D2671" s="617" t="s">
        <v>96</v>
      </c>
      <c r="E2671" s="617" t="s">
        <v>1672</v>
      </c>
      <c r="F2671" s="617" t="s">
        <v>26</v>
      </c>
      <c r="G2671" s="624"/>
      <c r="O2671" s="616"/>
      <c r="P2671" s="616"/>
      <c r="Q2671" s="616"/>
      <c r="AA2671" s="624"/>
      <c r="AB2671" s="663">
        <v>39153520301</v>
      </c>
      <c r="AC2671" s="663" t="s">
        <v>7603</v>
      </c>
      <c r="AD2671" s="663" t="s">
        <v>4948</v>
      </c>
      <c r="AE2671" s="663" t="s">
        <v>4942</v>
      </c>
      <c r="AF2671" s="663" t="s">
        <v>4946</v>
      </c>
    </row>
    <row r="2672" spans="1:32" s="608" customFormat="1" x14ac:dyDescent="0.25">
      <c r="A2672" s="624"/>
      <c r="B2672" s="617">
        <v>39145002902</v>
      </c>
      <c r="C2672" s="617" t="s">
        <v>4340</v>
      </c>
      <c r="D2672" s="617" t="s">
        <v>96</v>
      </c>
      <c r="E2672" s="617" t="s">
        <v>1672</v>
      </c>
      <c r="F2672" s="617" t="s">
        <v>26</v>
      </c>
      <c r="G2672" s="624"/>
      <c r="O2672" s="616"/>
      <c r="P2672" s="616"/>
      <c r="Q2672" s="616"/>
      <c r="AA2672" s="624"/>
      <c r="AB2672" s="663">
        <v>39153520302</v>
      </c>
      <c r="AC2672" s="663" t="s">
        <v>7604</v>
      </c>
      <c r="AD2672" s="663" t="s">
        <v>4948</v>
      </c>
      <c r="AE2672" s="663" t="s">
        <v>4942</v>
      </c>
      <c r="AF2672" s="663" t="s">
        <v>4946</v>
      </c>
    </row>
    <row r="2673" spans="1:32" s="608" customFormat="1" x14ac:dyDescent="0.25">
      <c r="A2673" s="624"/>
      <c r="B2673" s="617">
        <v>39145003000</v>
      </c>
      <c r="C2673" s="617" t="s">
        <v>4341</v>
      </c>
      <c r="D2673" s="617" t="s">
        <v>96</v>
      </c>
      <c r="E2673" s="617" t="s">
        <v>1672</v>
      </c>
      <c r="F2673" s="617" t="s">
        <v>24</v>
      </c>
      <c r="G2673" s="624"/>
      <c r="O2673" s="616"/>
      <c r="P2673" s="616"/>
      <c r="Q2673" s="616"/>
      <c r="AA2673" s="624"/>
      <c r="AB2673" s="663">
        <v>39153520400</v>
      </c>
      <c r="AC2673" s="663" t="s">
        <v>7605</v>
      </c>
      <c r="AD2673" s="663" t="s">
        <v>4948</v>
      </c>
      <c r="AE2673" s="663" t="s">
        <v>4939</v>
      </c>
      <c r="AF2673" s="663" t="s">
        <v>4946</v>
      </c>
    </row>
    <row r="2674" spans="1:32" s="608" customFormat="1" x14ac:dyDescent="0.25">
      <c r="A2674" s="624"/>
      <c r="B2674" s="617">
        <v>39145003100</v>
      </c>
      <c r="C2674" s="617" t="s">
        <v>4342</v>
      </c>
      <c r="D2674" s="617" t="s">
        <v>96</v>
      </c>
      <c r="E2674" s="617" t="s">
        <v>1672</v>
      </c>
      <c r="F2674" s="617" t="s">
        <v>24</v>
      </c>
      <c r="G2674" s="624"/>
      <c r="O2674" s="616"/>
      <c r="P2674" s="616"/>
      <c r="Q2674" s="616"/>
      <c r="AA2674" s="624"/>
      <c r="AB2674" s="663">
        <v>39153520500</v>
      </c>
      <c r="AC2674" s="663" t="s">
        <v>7606</v>
      </c>
      <c r="AD2674" s="663" t="s">
        <v>4948</v>
      </c>
      <c r="AE2674" s="663" t="s">
        <v>4942</v>
      </c>
      <c r="AF2674" s="663" t="s">
        <v>4946</v>
      </c>
    </row>
    <row r="2675" spans="1:32" s="608" customFormat="1" x14ac:dyDescent="0.25">
      <c r="A2675" s="624"/>
      <c r="B2675" s="617">
        <v>39145003200</v>
      </c>
      <c r="C2675" s="617" t="s">
        <v>4343</v>
      </c>
      <c r="D2675" s="617" t="s">
        <v>96</v>
      </c>
      <c r="E2675" s="617" t="s">
        <v>1672</v>
      </c>
      <c r="F2675" s="617" t="s">
        <v>24</v>
      </c>
      <c r="G2675" s="624"/>
      <c r="O2675" s="616"/>
      <c r="P2675" s="616"/>
      <c r="Q2675" s="616"/>
      <c r="AA2675" s="624"/>
      <c r="AB2675" s="663">
        <v>39153520600</v>
      </c>
      <c r="AC2675" s="663" t="s">
        <v>7607</v>
      </c>
      <c r="AD2675" s="663" t="s">
        <v>4941</v>
      </c>
      <c r="AE2675" s="663" t="s">
        <v>4928</v>
      </c>
      <c r="AF2675" s="663" t="s">
        <v>4946</v>
      </c>
    </row>
    <row r="2676" spans="1:32" s="608" customFormat="1" x14ac:dyDescent="0.25">
      <c r="A2676" s="624"/>
      <c r="B2676" s="617">
        <v>39145003300</v>
      </c>
      <c r="C2676" s="617" t="s">
        <v>4344</v>
      </c>
      <c r="D2676" s="617" t="s">
        <v>96</v>
      </c>
      <c r="E2676" s="617" t="s">
        <v>1672</v>
      </c>
      <c r="F2676" s="617" t="s">
        <v>26</v>
      </c>
      <c r="G2676" s="624"/>
      <c r="O2676" s="616"/>
      <c r="P2676" s="616"/>
      <c r="Q2676" s="616"/>
      <c r="AA2676" s="624"/>
      <c r="AB2676" s="663">
        <v>39153530101</v>
      </c>
      <c r="AC2676" s="663" t="s">
        <v>7608</v>
      </c>
      <c r="AD2676" s="663" t="s">
        <v>4938</v>
      </c>
      <c r="AE2676" s="663" t="s">
        <v>4942</v>
      </c>
      <c r="AF2676" s="663" t="s">
        <v>4946</v>
      </c>
    </row>
    <row r="2677" spans="1:32" s="608" customFormat="1" x14ac:dyDescent="0.25">
      <c r="A2677" s="624"/>
      <c r="B2677" s="617">
        <v>39145003400</v>
      </c>
      <c r="C2677" s="617" t="s">
        <v>4345</v>
      </c>
      <c r="D2677" s="617" t="s">
        <v>96</v>
      </c>
      <c r="E2677" s="617" t="s">
        <v>1672</v>
      </c>
      <c r="F2677" s="617" t="s">
        <v>24</v>
      </c>
      <c r="G2677" s="624"/>
      <c r="O2677" s="616"/>
      <c r="P2677" s="616"/>
      <c r="Q2677" s="616"/>
      <c r="AA2677" s="624"/>
      <c r="AB2677" s="663">
        <v>39153530103</v>
      </c>
      <c r="AC2677" s="663" t="s">
        <v>7609</v>
      </c>
      <c r="AD2677" s="663" t="s">
        <v>4938</v>
      </c>
      <c r="AE2677" s="663" t="s">
        <v>4934</v>
      </c>
      <c r="AF2677" s="663" t="s">
        <v>4946</v>
      </c>
    </row>
    <row r="2678" spans="1:32" s="608" customFormat="1" x14ac:dyDescent="0.25">
      <c r="A2678" s="624"/>
      <c r="B2678" s="617">
        <v>39145003500</v>
      </c>
      <c r="C2678" s="617" t="s">
        <v>4346</v>
      </c>
      <c r="D2678" s="617" t="s">
        <v>96</v>
      </c>
      <c r="E2678" s="617" t="s">
        <v>1672</v>
      </c>
      <c r="F2678" s="617" t="s">
        <v>24</v>
      </c>
      <c r="G2678" s="624"/>
      <c r="O2678" s="616"/>
      <c r="P2678" s="616"/>
      <c r="Q2678" s="616"/>
      <c r="AA2678" s="624"/>
      <c r="AB2678" s="663">
        <v>39153530104</v>
      </c>
      <c r="AC2678" s="663" t="s">
        <v>7610</v>
      </c>
      <c r="AD2678" s="663" t="s">
        <v>4941</v>
      </c>
      <c r="AE2678" s="663" t="s">
        <v>4942</v>
      </c>
      <c r="AF2678" s="663" t="s">
        <v>4946</v>
      </c>
    </row>
    <row r="2679" spans="1:32" s="608" customFormat="1" x14ac:dyDescent="0.25">
      <c r="A2679" s="624"/>
      <c r="B2679" s="617">
        <v>39145003600</v>
      </c>
      <c r="C2679" s="617" t="s">
        <v>4347</v>
      </c>
      <c r="D2679" s="617" t="s">
        <v>96</v>
      </c>
      <c r="E2679" s="617" t="s">
        <v>1672</v>
      </c>
      <c r="F2679" s="617" t="s">
        <v>24</v>
      </c>
      <c r="G2679" s="624"/>
      <c r="O2679" s="616"/>
      <c r="P2679" s="616"/>
      <c r="Q2679" s="616"/>
      <c r="AA2679" s="624"/>
      <c r="AB2679" s="663">
        <v>39153530105</v>
      </c>
      <c r="AC2679" s="663" t="s">
        <v>7611</v>
      </c>
      <c r="AD2679" s="663" t="s">
        <v>4948</v>
      </c>
      <c r="AE2679" s="663" t="s">
        <v>4939</v>
      </c>
      <c r="AF2679" s="663" t="s">
        <v>4946</v>
      </c>
    </row>
    <row r="2680" spans="1:32" s="608" customFormat="1" x14ac:dyDescent="0.25">
      <c r="A2680" s="624"/>
      <c r="B2680" s="617">
        <v>39145003700</v>
      </c>
      <c r="C2680" s="617" t="s">
        <v>4348</v>
      </c>
      <c r="D2680" s="617" t="s">
        <v>96</v>
      </c>
      <c r="E2680" s="617" t="s">
        <v>1672</v>
      </c>
      <c r="F2680" s="617" t="s">
        <v>24</v>
      </c>
      <c r="G2680" s="624"/>
      <c r="O2680" s="616"/>
      <c r="P2680" s="616"/>
      <c r="Q2680" s="616"/>
      <c r="AA2680" s="624"/>
      <c r="AB2680" s="663">
        <v>39153530108</v>
      </c>
      <c r="AC2680" s="663" t="s">
        <v>7612</v>
      </c>
      <c r="AD2680" s="663" t="s">
        <v>4938</v>
      </c>
      <c r="AE2680" s="663" t="s">
        <v>4931</v>
      </c>
      <c r="AF2680" s="663" t="s">
        <v>4946</v>
      </c>
    </row>
    <row r="2681" spans="1:32" s="608" customFormat="1" x14ac:dyDescent="0.25">
      <c r="A2681" s="624"/>
      <c r="B2681" s="617">
        <v>39145003800</v>
      </c>
      <c r="C2681" s="617" t="s">
        <v>4349</v>
      </c>
      <c r="D2681" s="617" t="s">
        <v>96</v>
      </c>
      <c r="E2681" s="617" t="s">
        <v>1672</v>
      </c>
      <c r="F2681" s="617" t="s">
        <v>26</v>
      </c>
      <c r="G2681" s="624"/>
      <c r="O2681" s="616"/>
      <c r="P2681" s="616"/>
      <c r="Q2681" s="616"/>
      <c r="AA2681" s="624"/>
      <c r="AB2681" s="663">
        <v>39153530401</v>
      </c>
      <c r="AC2681" s="663" t="s">
        <v>7613</v>
      </c>
      <c r="AD2681" s="663" t="s">
        <v>4948</v>
      </c>
      <c r="AE2681" s="663" t="s">
        <v>4942</v>
      </c>
      <c r="AF2681" s="663" t="s">
        <v>4946</v>
      </c>
    </row>
    <row r="2682" spans="1:32" s="608" customFormat="1" x14ac:dyDescent="0.25">
      <c r="A2682" s="624"/>
      <c r="B2682" s="617">
        <v>39145003900</v>
      </c>
      <c r="C2682" s="617" t="s">
        <v>4350</v>
      </c>
      <c r="D2682" s="617" t="s">
        <v>96</v>
      </c>
      <c r="E2682" s="617" t="s">
        <v>1672</v>
      </c>
      <c r="F2682" s="617" t="s">
        <v>26</v>
      </c>
      <c r="G2682" s="624"/>
      <c r="O2682" s="616"/>
      <c r="P2682" s="616"/>
      <c r="Q2682" s="616"/>
      <c r="AA2682" s="624"/>
      <c r="AB2682" s="663">
        <v>39153530402</v>
      </c>
      <c r="AC2682" s="663" t="s">
        <v>7614</v>
      </c>
      <c r="AD2682" s="663" t="s">
        <v>4948</v>
      </c>
      <c r="AE2682" s="663" t="s">
        <v>4942</v>
      </c>
      <c r="AF2682" s="663" t="s">
        <v>4946</v>
      </c>
    </row>
    <row r="2683" spans="1:32" s="608" customFormat="1" x14ac:dyDescent="0.25">
      <c r="A2683" s="624"/>
      <c r="B2683" s="617">
        <v>39145004000</v>
      </c>
      <c r="C2683" s="617" t="s">
        <v>4351</v>
      </c>
      <c r="D2683" s="617" t="s">
        <v>96</v>
      </c>
      <c r="E2683" s="617" t="s">
        <v>1672</v>
      </c>
      <c r="F2683" s="617" t="s">
        <v>26</v>
      </c>
      <c r="G2683" s="624"/>
      <c r="O2683" s="616"/>
      <c r="P2683" s="616"/>
      <c r="Q2683" s="616"/>
      <c r="AA2683" s="624"/>
      <c r="AB2683" s="663">
        <v>39153530501</v>
      </c>
      <c r="AC2683" s="663" t="s">
        <v>7615</v>
      </c>
      <c r="AD2683" s="663" t="s">
        <v>4941</v>
      </c>
      <c r="AE2683" s="663" t="s">
        <v>4939</v>
      </c>
      <c r="AF2683" s="663" t="s">
        <v>4946</v>
      </c>
    </row>
    <row r="2684" spans="1:32" s="608" customFormat="1" x14ac:dyDescent="0.25">
      <c r="A2684" s="624"/>
      <c r="B2684" s="617">
        <v>39147962500</v>
      </c>
      <c r="C2684" s="617" t="s">
        <v>4352</v>
      </c>
      <c r="D2684" s="617" t="s">
        <v>97</v>
      </c>
      <c r="E2684" s="617" t="s">
        <v>1672</v>
      </c>
      <c r="F2684" s="617" t="s">
        <v>26</v>
      </c>
      <c r="G2684" s="624"/>
      <c r="O2684" s="616"/>
      <c r="P2684" s="616"/>
      <c r="Q2684" s="616"/>
      <c r="AA2684" s="624"/>
      <c r="AB2684" s="663">
        <v>39153530502</v>
      </c>
      <c r="AC2684" s="663" t="s">
        <v>7616</v>
      </c>
      <c r="AD2684" s="663" t="s">
        <v>4941</v>
      </c>
      <c r="AE2684" s="663" t="s">
        <v>4942</v>
      </c>
      <c r="AF2684" s="663" t="s">
        <v>4946</v>
      </c>
    </row>
    <row r="2685" spans="1:32" s="608" customFormat="1" x14ac:dyDescent="0.25">
      <c r="A2685" s="624"/>
      <c r="B2685" s="617">
        <v>39147962600</v>
      </c>
      <c r="C2685" s="617" t="s">
        <v>4353</v>
      </c>
      <c r="D2685" s="617" t="s">
        <v>97</v>
      </c>
      <c r="E2685" s="617" t="s">
        <v>1672</v>
      </c>
      <c r="F2685" s="617" t="s">
        <v>26</v>
      </c>
      <c r="G2685" s="624"/>
      <c r="O2685" s="616"/>
      <c r="P2685" s="616"/>
      <c r="Q2685" s="616"/>
      <c r="AA2685" s="624"/>
      <c r="AB2685" s="663">
        <v>39153530603</v>
      </c>
      <c r="AC2685" s="663" t="s">
        <v>7617</v>
      </c>
      <c r="AD2685" s="663" t="s">
        <v>4941</v>
      </c>
      <c r="AE2685" s="663" t="s">
        <v>4934</v>
      </c>
      <c r="AF2685" s="663" t="s">
        <v>4946</v>
      </c>
    </row>
    <row r="2686" spans="1:32" s="608" customFormat="1" x14ac:dyDescent="0.25">
      <c r="A2686" s="624"/>
      <c r="B2686" s="617">
        <v>39147962700</v>
      </c>
      <c r="C2686" s="617" t="s">
        <v>4354</v>
      </c>
      <c r="D2686" s="617" t="s">
        <v>97</v>
      </c>
      <c r="E2686" s="617" t="s">
        <v>1672</v>
      </c>
      <c r="F2686" s="617" t="s">
        <v>26</v>
      </c>
      <c r="G2686" s="624"/>
      <c r="O2686" s="616"/>
      <c r="P2686" s="616"/>
      <c r="Q2686" s="616"/>
      <c r="AA2686" s="624"/>
      <c r="AB2686" s="663">
        <v>39153530604</v>
      </c>
      <c r="AC2686" s="663" t="s">
        <v>7618</v>
      </c>
      <c r="AD2686" s="663" t="s">
        <v>4941</v>
      </c>
      <c r="AE2686" s="663" t="s">
        <v>4931</v>
      </c>
      <c r="AF2686" s="663" t="s">
        <v>4946</v>
      </c>
    </row>
    <row r="2687" spans="1:32" s="608" customFormat="1" x14ac:dyDescent="0.25">
      <c r="A2687" s="624"/>
      <c r="B2687" s="617">
        <v>39147962800</v>
      </c>
      <c r="C2687" s="617" t="s">
        <v>4355</v>
      </c>
      <c r="D2687" s="617" t="s">
        <v>97</v>
      </c>
      <c r="E2687" s="617" t="s">
        <v>1672</v>
      </c>
      <c r="F2687" s="617" t="s">
        <v>24</v>
      </c>
      <c r="G2687" s="624"/>
      <c r="O2687" s="616"/>
      <c r="P2687" s="616"/>
      <c r="Q2687" s="616"/>
      <c r="AA2687" s="624"/>
      <c r="AB2687" s="663">
        <v>39153530605</v>
      </c>
      <c r="AC2687" s="663" t="s">
        <v>7619</v>
      </c>
      <c r="AD2687" s="663" t="s">
        <v>4941</v>
      </c>
      <c r="AE2687" s="663" t="s">
        <v>4934</v>
      </c>
      <c r="AF2687" s="663" t="s">
        <v>4946</v>
      </c>
    </row>
    <row r="2688" spans="1:32" s="608" customFormat="1" x14ac:dyDescent="0.25">
      <c r="A2688" s="624"/>
      <c r="B2688" s="617">
        <v>39147962900</v>
      </c>
      <c r="C2688" s="617" t="s">
        <v>4356</v>
      </c>
      <c r="D2688" s="617" t="s">
        <v>97</v>
      </c>
      <c r="E2688" s="617" t="s">
        <v>1672</v>
      </c>
      <c r="F2688" s="617" t="s">
        <v>26</v>
      </c>
      <c r="G2688" s="624"/>
      <c r="O2688" s="616"/>
      <c r="P2688" s="616"/>
      <c r="Q2688" s="616"/>
      <c r="AA2688" s="624"/>
      <c r="AB2688" s="663">
        <v>39153530606</v>
      </c>
      <c r="AC2688" s="663" t="s">
        <v>7620</v>
      </c>
      <c r="AD2688" s="663" t="s">
        <v>4941</v>
      </c>
      <c r="AE2688" s="663" t="s">
        <v>4939</v>
      </c>
      <c r="AF2688" s="663" t="s">
        <v>4946</v>
      </c>
    </row>
    <row r="2689" spans="1:32" s="608" customFormat="1" x14ac:dyDescent="0.25">
      <c r="A2689" s="624"/>
      <c r="B2689" s="617">
        <v>39147963000</v>
      </c>
      <c r="C2689" s="617" t="s">
        <v>4357</v>
      </c>
      <c r="D2689" s="617" t="s">
        <v>97</v>
      </c>
      <c r="E2689" s="617" t="s">
        <v>1672</v>
      </c>
      <c r="F2689" s="617" t="s">
        <v>24</v>
      </c>
      <c r="G2689" s="624"/>
      <c r="O2689" s="616"/>
      <c r="P2689" s="616"/>
      <c r="Q2689" s="616"/>
      <c r="AA2689" s="624"/>
      <c r="AB2689" s="663">
        <v>39153530700</v>
      </c>
      <c r="AC2689" s="663" t="s">
        <v>7621</v>
      </c>
      <c r="AD2689" s="663" t="s">
        <v>4938</v>
      </c>
      <c r="AE2689" s="663" t="s">
        <v>4931</v>
      </c>
      <c r="AF2689" s="663" t="s">
        <v>4946</v>
      </c>
    </row>
    <row r="2690" spans="1:32" s="608" customFormat="1" x14ac:dyDescent="0.25">
      <c r="A2690" s="624"/>
      <c r="B2690" s="617">
        <v>39147963100</v>
      </c>
      <c r="C2690" s="617" t="s">
        <v>4358</v>
      </c>
      <c r="D2690" s="617" t="s">
        <v>97</v>
      </c>
      <c r="E2690" s="617" t="s">
        <v>1672</v>
      </c>
      <c r="F2690" s="617" t="s">
        <v>26</v>
      </c>
      <c r="G2690" s="624"/>
      <c r="O2690" s="616"/>
      <c r="P2690" s="616"/>
      <c r="Q2690" s="616"/>
      <c r="AA2690" s="624"/>
      <c r="AB2690" s="663">
        <v>39153530800</v>
      </c>
      <c r="AC2690" s="663" t="s">
        <v>7622</v>
      </c>
      <c r="AD2690" s="663" t="s">
        <v>4948</v>
      </c>
      <c r="AE2690" s="663" t="s">
        <v>4942</v>
      </c>
      <c r="AF2690" s="663" t="s">
        <v>4946</v>
      </c>
    </row>
    <row r="2691" spans="1:32" s="608" customFormat="1" x14ac:dyDescent="0.25">
      <c r="A2691" s="624"/>
      <c r="B2691" s="617">
        <v>39147963200</v>
      </c>
      <c r="C2691" s="617" t="s">
        <v>4359</v>
      </c>
      <c r="D2691" s="617" t="s">
        <v>97</v>
      </c>
      <c r="E2691" s="617" t="s">
        <v>1672</v>
      </c>
      <c r="F2691" s="617" t="s">
        <v>26</v>
      </c>
      <c r="G2691" s="624"/>
      <c r="O2691" s="616"/>
      <c r="P2691" s="616"/>
      <c r="Q2691" s="616"/>
      <c r="AA2691" s="624"/>
      <c r="AB2691" s="663">
        <v>39153530901</v>
      </c>
      <c r="AC2691" s="663" t="s">
        <v>7623</v>
      </c>
      <c r="AD2691" s="663" t="s">
        <v>4948</v>
      </c>
      <c r="AE2691" s="663" t="s">
        <v>4939</v>
      </c>
      <c r="AF2691" s="663" t="s">
        <v>4946</v>
      </c>
    </row>
    <row r="2692" spans="1:32" s="608" customFormat="1" x14ac:dyDescent="0.25">
      <c r="A2692" s="624"/>
      <c r="B2692" s="617">
        <v>39147963300</v>
      </c>
      <c r="C2692" s="617" t="s">
        <v>4360</v>
      </c>
      <c r="D2692" s="617" t="s">
        <v>97</v>
      </c>
      <c r="E2692" s="617" t="s">
        <v>1672</v>
      </c>
      <c r="F2692" s="617" t="s">
        <v>26</v>
      </c>
      <c r="G2692" s="624"/>
      <c r="O2692" s="616"/>
      <c r="P2692" s="616"/>
      <c r="Q2692" s="616"/>
      <c r="AA2692" s="624"/>
      <c r="AB2692" s="663">
        <v>39153530902</v>
      </c>
      <c r="AC2692" s="663" t="s">
        <v>7624</v>
      </c>
      <c r="AD2692" s="663" t="s">
        <v>4948</v>
      </c>
      <c r="AE2692" s="663" t="s">
        <v>4939</v>
      </c>
      <c r="AF2692" s="663" t="s">
        <v>4946</v>
      </c>
    </row>
    <row r="2693" spans="1:32" s="608" customFormat="1" x14ac:dyDescent="0.25">
      <c r="A2693" s="624"/>
      <c r="B2693" s="617">
        <v>39147963400</v>
      </c>
      <c r="C2693" s="617" t="s">
        <v>4361</v>
      </c>
      <c r="D2693" s="617" t="s">
        <v>97</v>
      </c>
      <c r="E2693" s="617" t="s">
        <v>1672</v>
      </c>
      <c r="F2693" s="617" t="s">
        <v>26</v>
      </c>
      <c r="G2693" s="624"/>
      <c r="O2693" s="616"/>
      <c r="P2693" s="616"/>
      <c r="Q2693" s="616"/>
      <c r="AA2693" s="624"/>
      <c r="AB2693" s="663">
        <v>39153530903</v>
      </c>
      <c r="AC2693" s="663" t="s">
        <v>7625</v>
      </c>
      <c r="AD2693" s="663" t="s">
        <v>4941</v>
      </c>
      <c r="AE2693" s="663" t="s">
        <v>4939</v>
      </c>
      <c r="AF2693" s="663" t="s">
        <v>4946</v>
      </c>
    </row>
    <row r="2694" spans="1:32" s="608" customFormat="1" x14ac:dyDescent="0.25">
      <c r="A2694" s="624"/>
      <c r="B2694" s="617">
        <v>39147963500</v>
      </c>
      <c r="C2694" s="617" t="s">
        <v>4362</v>
      </c>
      <c r="D2694" s="617" t="s">
        <v>97</v>
      </c>
      <c r="E2694" s="617" t="s">
        <v>1672</v>
      </c>
      <c r="F2694" s="617" t="s">
        <v>26</v>
      </c>
      <c r="G2694" s="624"/>
      <c r="O2694" s="616"/>
      <c r="P2694" s="616"/>
      <c r="Q2694" s="616"/>
      <c r="AA2694" s="624"/>
      <c r="AB2694" s="663">
        <v>39153531001</v>
      </c>
      <c r="AC2694" s="663" t="s">
        <v>7626</v>
      </c>
      <c r="AD2694" s="663" t="s">
        <v>4948</v>
      </c>
      <c r="AE2694" s="663" t="s">
        <v>4931</v>
      </c>
      <c r="AF2694" s="663" t="s">
        <v>4946</v>
      </c>
    </row>
    <row r="2695" spans="1:32" s="608" customFormat="1" x14ac:dyDescent="0.25">
      <c r="A2695" s="624"/>
      <c r="B2695" s="617">
        <v>39147963600</v>
      </c>
      <c r="C2695" s="617" t="s">
        <v>4363</v>
      </c>
      <c r="D2695" s="617" t="s">
        <v>97</v>
      </c>
      <c r="E2695" s="617" t="s">
        <v>1672</v>
      </c>
      <c r="F2695" s="617" t="s">
        <v>26</v>
      </c>
      <c r="G2695" s="624"/>
      <c r="O2695" s="616"/>
      <c r="P2695" s="616"/>
      <c r="Q2695" s="616"/>
      <c r="AA2695" s="624"/>
      <c r="AB2695" s="663">
        <v>39153531002</v>
      </c>
      <c r="AC2695" s="663" t="s">
        <v>7627</v>
      </c>
      <c r="AD2695" s="663" t="s">
        <v>4950</v>
      </c>
      <c r="AE2695" s="663" t="s">
        <v>4942</v>
      </c>
      <c r="AF2695" s="663" t="s">
        <v>4946</v>
      </c>
    </row>
    <row r="2696" spans="1:32" s="608" customFormat="1" x14ac:dyDescent="0.25">
      <c r="A2696" s="624"/>
      <c r="B2696" s="617">
        <v>39147963700</v>
      </c>
      <c r="C2696" s="617" t="s">
        <v>4364</v>
      </c>
      <c r="D2696" s="617" t="s">
        <v>97</v>
      </c>
      <c r="E2696" s="617" t="s">
        <v>1672</v>
      </c>
      <c r="F2696" s="617" t="s">
        <v>26</v>
      </c>
      <c r="G2696" s="624"/>
      <c r="O2696" s="616"/>
      <c r="P2696" s="616"/>
      <c r="Q2696" s="616"/>
      <c r="AA2696" s="624"/>
      <c r="AB2696" s="663">
        <v>39153531101</v>
      </c>
      <c r="AC2696" s="663" t="s">
        <v>7628</v>
      </c>
      <c r="AD2696" s="663" t="s">
        <v>4950</v>
      </c>
      <c r="AE2696" s="663" t="s">
        <v>4934</v>
      </c>
      <c r="AF2696" s="663" t="s">
        <v>4946</v>
      </c>
    </row>
    <row r="2697" spans="1:32" s="608" customFormat="1" x14ac:dyDescent="0.25">
      <c r="A2697" s="624"/>
      <c r="B2697" s="617">
        <v>39147963800</v>
      </c>
      <c r="C2697" s="617" t="s">
        <v>4365</v>
      </c>
      <c r="D2697" s="617" t="s">
        <v>97</v>
      </c>
      <c r="E2697" s="617" t="s">
        <v>1672</v>
      </c>
      <c r="F2697" s="617" t="s">
        <v>26</v>
      </c>
      <c r="G2697" s="624"/>
      <c r="O2697" s="616"/>
      <c r="P2697" s="616"/>
      <c r="Q2697" s="616"/>
      <c r="AA2697" s="624"/>
      <c r="AB2697" s="663">
        <v>39153531102</v>
      </c>
      <c r="AC2697" s="663" t="s">
        <v>7629</v>
      </c>
      <c r="AD2697" s="663" t="s">
        <v>4950</v>
      </c>
      <c r="AE2697" s="663" t="s">
        <v>4931</v>
      </c>
      <c r="AF2697" s="663" t="s">
        <v>4946</v>
      </c>
    </row>
    <row r="2698" spans="1:32" s="608" customFormat="1" x14ac:dyDescent="0.25">
      <c r="A2698" s="624"/>
      <c r="B2698" s="617">
        <v>39149971400</v>
      </c>
      <c r="C2698" s="617" t="s">
        <v>4366</v>
      </c>
      <c r="D2698" s="617" t="s">
        <v>98</v>
      </c>
      <c r="E2698" s="617" t="s">
        <v>1672</v>
      </c>
      <c r="F2698" s="617" t="s">
        <v>26</v>
      </c>
      <c r="G2698" s="624"/>
      <c r="O2698" s="616"/>
      <c r="P2698" s="616"/>
      <c r="Q2698" s="616"/>
      <c r="AA2698" s="624"/>
      <c r="AB2698" s="663">
        <v>39153531103</v>
      </c>
      <c r="AC2698" s="663" t="s">
        <v>7630</v>
      </c>
      <c r="AD2698" s="663" t="s">
        <v>4948</v>
      </c>
      <c r="AE2698" s="663" t="s">
        <v>4942</v>
      </c>
      <c r="AF2698" s="663" t="s">
        <v>4946</v>
      </c>
    </row>
    <row r="2699" spans="1:32" s="608" customFormat="1" x14ac:dyDescent="0.25">
      <c r="A2699" s="624"/>
      <c r="B2699" s="617">
        <v>39149971500</v>
      </c>
      <c r="C2699" s="617" t="s">
        <v>4367</v>
      </c>
      <c r="D2699" s="617" t="s">
        <v>98</v>
      </c>
      <c r="E2699" s="617" t="s">
        <v>1672</v>
      </c>
      <c r="F2699" s="617" t="s">
        <v>26</v>
      </c>
      <c r="G2699" s="624"/>
      <c r="O2699" s="616"/>
      <c r="P2699" s="616"/>
      <c r="Q2699" s="616"/>
      <c r="AA2699" s="624"/>
      <c r="AB2699" s="663">
        <v>39153531401</v>
      </c>
      <c r="AC2699" s="663" t="s">
        <v>7631</v>
      </c>
      <c r="AD2699" s="663" t="s">
        <v>4941</v>
      </c>
      <c r="AE2699" s="663" t="s">
        <v>4934</v>
      </c>
      <c r="AF2699" s="663" t="s">
        <v>4946</v>
      </c>
    </row>
    <row r="2700" spans="1:32" s="608" customFormat="1" x14ac:dyDescent="0.25">
      <c r="A2700" s="624"/>
      <c r="B2700" s="617">
        <v>39149971600</v>
      </c>
      <c r="C2700" s="617" t="s">
        <v>4368</v>
      </c>
      <c r="D2700" s="617" t="s">
        <v>98</v>
      </c>
      <c r="E2700" s="617" t="s">
        <v>1672</v>
      </c>
      <c r="F2700" s="617" t="s">
        <v>26</v>
      </c>
      <c r="G2700" s="624"/>
      <c r="O2700" s="616"/>
      <c r="P2700" s="616"/>
      <c r="Q2700" s="616"/>
      <c r="AA2700" s="624"/>
      <c r="AB2700" s="663">
        <v>39153531405</v>
      </c>
      <c r="AC2700" s="663" t="s">
        <v>7632</v>
      </c>
      <c r="AD2700" s="663" t="s">
        <v>4941</v>
      </c>
      <c r="AE2700" s="663" t="s">
        <v>4934</v>
      </c>
      <c r="AF2700" s="663" t="s">
        <v>4946</v>
      </c>
    </row>
    <row r="2701" spans="1:32" s="608" customFormat="1" x14ac:dyDescent="0.25">
      <c r="A2701" s="624"/>
      <c r="B2701" s="617">
        <v>39149971700</v>
      </c>
      <c r="C2701" s="617" t="s">
        <v>4369</v>
      </c>
      <c r="D2701" s="617" t="s">
        <v>98</v>
      </c>
      <c r="E2701" s="617" t="s">
        <v>1672</v>
      </c>
      <c r="F2701" s="617" t="s">
        <v>26</v>
      </c>
      <c r="G2701" s="624"/>
      <c r="O2701" s="616"/>
      <c r="P2701" s="616"/>
      <c r="Q2701" s="616"/>
      <c r="AA2701" s="624"/>
      <c r="AB2701" s="663">
        <v>39153531500</v>
      </c>
      <c r="AC2701" s="663" t="s">
        <v>7633</v>
      </c>
      <c r="AD2701" s="663" t="s">
        <v>4941</v>
      </c>
      <c r="AE2701" s="663" t="s">
        <v>4942</v>
      </c>
      <c r="AF2701" s="663" t="s">
        <v>4946</v>
      </c>
    </row>
    <row r="2702" spans="1:32" s="608" customFormat="1" x14ac:dyDescent="0.25">
      <c r="A2702" s="624"/>
      <c r="B2702" s="617">
        <v>39149971800</v>
      </c>
      <c r="C2702" s="617" t="s">
        <v>4370</v>
      </c>
      <c r="D2702" s="617" t="s">
        <v>98</v>
      </c>
      <c r="E2702" s="617" t="s">
        <v>1672</v>
      </c>
      <c r="F2702" s="617" t="s">
        <v>26</v>
      </c>
      <c r="G2702" s="624"/>
      <c r="O2702" s="616"/>
      <c r="P2702" s="616"/>
      <c r="Q2702" s="616"/>
      <c r="AA2702" s="624"/>
      <c r="AB2702" s="663">
        <v>39153531601</v>
      </c>
      <c r="AC2702" s="663" t="s">
        <v>7634</v>
      </c>
      <c r="AD2702" s="663" t="s">
        <v>4948</v>
      </c>
      <c r="AE2702" s="663" t="s">
        <v>4934</v>
      </c>
      <c r="AF2702" s="663" t="s">
        <v>4946</v>
      </c>
    </row>
    <row r="2703" spans="1:32" s="608" customFormat="1" x14ac:dyDescent="0.25">
      <c r="A2703" s="624"/>
      <c r="B2703" s="617">
        <v>39149971900</v>
      </c>
      <c r="C2703" s="617" t="s">
        <v>4371</v>
      </c>
      <c r="D2703" s="617" t="s">
        <v>98</v>
      </c>
      <c r="E2703" s="617" t="s">
        <v>1672</v>
      </c>
      <c r="F2703" s="617" t="s">
        <v>26</v>
      </c>
      <c r="G2703" s="624"/>
      <c r="O2703" s="616"/>
      <c r="P2703" s="616"/>
      <c r="Q2703" s="616"/>
      <c r="AA2703" s="624"/>
      <c r="AB2703" s="663">
        <v>39153531602</v>
      </c>
      <c r="AC2703" s="663" t="s">
        <v>7635</v>
      </c>
      <c r="AD2703" s="663" t="s">
        <v>4948</v>
      </c>
      <c r="AE2703" s="663" t="s">
        <v>4934</v>
      </c>
      <c r="AF2703" s="663" t="s">
        <v>4946</v>
      </c>
    </row>
    <row r="2704" spans="1:32" s="608" customFormat="1" x14ac:dyDescent="0.25">
      <c r="A2704" s="624"/>
      <c r="B2704" s="617">
        <v>39149972000</v>
      </c>
      <c r="C2704" s="617" t="s">
        <v>4372</v>
      </c>
      <c r="D2704" s="617" t="s">
        <v>98</v>
      </c>
      <c r="E2704" s="617" t="s">
        <v>1672</v>
      </c>
      <c r="F2704" s="617" t="s">
        <v>26</v>
      </c>
      <c r="G2704" s="624"/>
      <c r="O2704" s="616"/>
      <c r="P2704" s="616"/>
      <c r="Q2704" s="616"/>
      <c r="AA2704" s="624"/>
      <c r="AB2704" s="663">
        <v>39153531701</v>
      </c>
      <c r="AC2704" s="663" t="s">
        <v>7636</v>
      </c>
      <c r="AD2704" s="663" t="s">
        <v>4950</v>
      </c>
      <c r="AE2704" s="663" t="s">
        <v>4931</v>
      </c>
      <c r="AF2704" s="663" t="s">
        <v>4946</v>
      </c>
    </row>
    <row r="2705" spans="1:32" s="608" customFormat="1" x14ac:dyDescent="0.25">
      <c r="A2705" s="624"/>
      <c r="B2705" s="617">
        <v>39149972100</v>
      </c>
      <c r="C2705" s="617" t="s">
        <v>4373</v>
      </c>
      <c r="D2705" s="617" t="s">
        <v>98</v>
      </c>
      <c r="E2705" s="617" t="s">
        <v>1672</v>
      </c>
      <c r="F2705" s="617" t="s">
        <v>26</v>
      </c>
      <c r="G2705" s="624"/>
      <c r="O2705" s="616"/>
      <c r="P2705" s="616"/>
      <c r="Q2705" s="616"/>
      <c r="AA2705" s="624"/>
      <c r="AB2705" s="663">
        <v>39153531702</v>
      </c>
      <c r="AC2705" s="663" t="s">
        <v>7637</v>
      </c>
      <c r="AD2705" s="663" t="s">
        <v>4948</v>
      </c>
      <c r="AE2705" s="663" t="s">
        <v>4934</v>
      </c>
      <c r="AF2705" s="663" t="s">
        <v>4946</v>
      </c>
    </row>
    <row r="2706" spans="1:32" s="608" customFormat="1" x14ac:dyDescent="0.25">
      <c r="A2706" s="624"/>
      <c r="B2706" s="617">
        <v>39149972200</v>
      </c>
      <c r="C2706" s="617" t="s">
        <v>4374</v>
      </c>
      <c r="D2706" s="617" t="s">
        <v>98</v>
      </c>
      <c r="E2706" s="617" t="s">
        <v>1672</v>
      </c>
      <c r="F2706" s="617" t="s">
        <v>26</v>
      </c>
      <c r="G2706" s="624"/>
      <c r="O2706" s="616"/>
      <c r="P2706" s="616"/>
      <c r="Q2706" s="616"/>
      <c r="AA2706" s="624"/>
      <c r="AB2706" s="663">
        <v>39153531801</v>
      </c>
      <c r="AC2706" s="663" t="s">
        <v>7638</v>
      </c>
      <c r="AD2706" s="663" t="s">
        <v>4950</v>
      </c>
      <c r="AE2706" s="663" t="s">
        <v>4931</v>
      </c>
      <c r="AF2706" s="663" t="s">
        <v>4946</v>
      </c>
    </row>
    <row r="2707" spans="1:32" s="608" customFormat="1" x14ac:dyDescent="0.25">
      <c r="A2707" s="624"/>
      <c r="B2707" s="617">
        <v>39149972300</v>
      </c>
      <c r="C2707" s="617" t="s">
        <v>4375</v>
      </c>
      <c r="D2707" s="617" t="s">
        <v>98</v>
      </c>
      <c r="E2707" s="617" t="s">
        <v>1672</v>
      </c>
      <c r="F2707" s="617" t="s">
        <v>26</v>
      </c>
      <c r="G2707" s="624"/>
      <c r="O2707" s="616"/>
      <c r="P2707" s="616"/>
      <c r="Q2707" s="616"/>
      <c r="AA2707" s="624"/>
      <c r="AB2707" s="663">
        <v>39153531802</v>
      </c>
      <c r="AC2707" s="663" t="s">
        <v>7639</v>
      </c>
      <c r="AD2707" s="663" t="s">
        <v>4950</v>
      </c>
      <c r="AE2707" s="663" t="s">
        <v>4931</v>
      </c>
      <c r="AF2707" s="663" t="s">
        <v>4946</v>
      </c>
    </row>
    <row r="2708" spans="1:32" s="608" customFormat="1" x14ac:dyDescent="0.25">
      <c r="A2708" s="624"/>
      <c r="B2708" s="617">
        <v>39151700100</v>
      </c>
      <c r="C2708" s="617" t="s">
        <v>4376</v>
      </c>
      <c r="D2708" s="617" t="s">
        <v>99</v>
      </c>
      <c r="E2708" s="617" t="s">
        <v>4851</v>
      </c>
      <c r="F2708" s="617" t="s">
        <v>24</v>
      </c>
      <c r="G2708" s="624"/>
      <c r="O2708" s="616"/>
      <c r="P2708" s="616"/>
      <c r="Q2708" s="616"/>
      <c r="AA2708" s="624"/>
      <c r="AB2708" s="663">
        <v>39153532001</v>
      </c>
      <c r="AC2708" s="663" t="s">
        <v>7640</v>
      </c>
      <c r="AD2708" s="663" t="s">
        <v>4950</v>
      </c>
      <c r="AE2708" s="663" t="s">
        <v>4931</v>
      </c>
      <c r="AF2708" s="663" t="s">
        <v>4946</v>
      </c>
    </row>
    <row r="2709" spans="1:32" s="608" customFormat="1" x14ac:dyDescent="0.25">
      <c r="A2709" s="624"/>
      <c r="B2709" s="617">
        <v>39151700200</v>
      </c>
      <c r="C2709" s="617" t="s">
        <v>4377</v>
      </c>
      <c r="D2709" s="617" t="s">
        <v>99</v>
      </c>
      <c r="E2709" s="617" t="s">
        <v>4851</v>
      </c>
      <c r="F2709" s="617" t="s">
        <v>24</v>
      </c>
      <c r="G2709" s="624"/>
      <c r="O2709" s="616"/>
      <c r="P2709" s="616"/>
      <c r="Q2709" s="616"/>
      <c r="AA2709" s="624"/>
      <c r="AB2709" s="663">
        <v>39153532003</v>
      </c>
      <c r="AC2709" s="663" t="s">
        <v>7641</v>
      </c>
      <c r="AD2709" s="663" t="s">
        <v>4948</v>
      </c>
      <c r="AE2709" s="663" t="s">
        <v>4928</v>
      </c>
      <c r="AF2709" s="663" t="s">
        <v>4946</v>
      </c>
    </row>
    <row r="2710" spans="1:32" s="608" customFormat="1" x14ac:dyDescent="0.25">
      <c r="A2710" s="624"/>
      <c r="B2710" s="617">
        <v>39151700300</v>
      </c>
      <c r="C2710" s="617" t="s">
        <v>4378</v>
      </c>
      <c r="D2710" s="617" t="s">
        <v>99</v>
      </c>
      <c r="E2710" s="617" t="s">
        <v>4851</v>
      </c>
      <c r="F2710" s="617" t="s">
        <v>24</v>
      </c>
      <c r="G2710" s="624"/>
      <c r="O2710" s="616"/>
      <c r="P2710" s="616"/>
      <c r="Q2710" s="616"/>
      <c r="AA2710" s="624"/>
      <c r="AB2710" s="663">
        <v>39153532004</v>
      </c>
      <c r="AC2710" s="663" t="s">
        <v>7642</v>
      </c>
      <c r="AD2710" s="663" t="s">
        <v>4941</v>
      </c>
      <c r="AE2710" s="663" t="s">
        <v>4934</v>
      </c>
      <c r="AF2710" s="663" t="s">
        <v>4946</v>
      </c>
    </row>
    <row r="2711" spans="1:32" s="608" customFormat="1" x14ac:dyDescent="0.25">
      <c r="A2711" s="624"/>
      <c r="B2711" s="617">
        <v>39151700400</v>
      </c>
      <c r="C2711" s="617" t="s">
        <v>4379</v>
      </c>
      <c r="D2711" s="617" t="s">
        <v>99</v>
      </c>
      <c r="E2711" s="617" t="s">
        <v>4851</v>
      </c>
      <c r="F2711" s="617" t="s">
        <v>26</v>
      </c>
      <c r="G2711" s="624"/>
      <c r="O2711" s="616"/>
      <c r="P2711" s="616"/>
      <c r="Q2711" s="616"/>
      <c r="AA2711" s="624"/>
      <c r="AB2711" s="663">
        <v>39153532202</v>
      </c>
      <c r="AC2711" s="663" t="s">
        <v>7643</v>
      </c>
      <c r="AD2711" s="663" t="s">
        <v>4938</v>
      </c>
      <c r="AE2711" s="663" t="s">
        <v>4928</v>
      </c>
      <c r="AF2711" s="663" t="s">
        <v>4946</v>
      </c>
    </row>
    <row r="2712" spans="1:32" s="608" customFormat="1" x14ac:dyDescent="0.25">
      <c r="A2712" s="624"/>
      <c r="B2712" s="617">
        <v>39151700500</v>
      </c>
      <c r="C2712" s="617" t="s">
        <v>4380</v>
      </c>
      <c r="D2712" s="617" t="s">
        <v>99</v>
      </c>
      <c r="E2712" s="617" t="s">
        <v>4851</v>
      </c>
      <c r="F2712" s="617" t="s">
        <v>24</v>
      </c>
      <c r="G2712" s="624"/>
      <c r="O2712" s="616"/>
      <c r="P2712" s="616"/>
      <c r="Q2712" s="616"/>
      <c r="AA2712" s="624"/>
      <c r="AB2712" s="663">
        <v>39153532301</v>
      </c>
      <c r="AC2712" s="663" t="s">
        <v>7644</v>
      </c>
      <c r="AD2712" s="663" t="s">
        <v>4938</v>
      </c>
      <c r="AE2712" s="663" t="s">
        <v>4931</v>
      </c>
      <c r="AF2712" s="663" t="s">
        <v>4929</v>
      </c>
    </row>
    <row r="2713" spans="1:32" s="608" customFormat="1" x14ac:dyDescent="0.25">
      <c r="A2713" s="624"/>
      <c r="B2713" s="617">
        <v>39151700600</v>
      </c>
      <c r="C2713" s="617" t="s">
        <v>4381</v>
      </c>
      <c r="D2713" s="617" t="s">
        <v>99</v>
      </c>
      <c r="E2713" s="617" t="s">
        <v>4851</v>
      </c>
      <c r="F2713" s="617" t="s">
        <v>26</v>
      </c>
      <c r="G2713" s="624"/>
      <c r="O2713" s="616"/>
      <c r="P2713" s="616"/>
      <c r="Q2713" s="616"/>
      <c r="AA2713" s="624"/>
      <c r="AB2713" s="663">
        <v>39153532302</v>
      </c>
      <c r="AC2713" s="663" t="s">
        <v>7645</v>
      </c>
      <c r="AD2713" s="663" t="s">
        <v>4938</v>
      </c>
      <c r="AE2713" s="663" t="s">
        <v>4934</v>
      </c>
      <c r="AF2713" s="663" t="s">
        <v>4946</v>
      </c>
    </row>
    <row r="2714" spans="1:32" s="608" customFormat="1" x14ac:dyDescent="0.25">
      <c r="A2714" s="624"/>
      <c r="B2714" s="617">
        <v>39151700701</v>
      </c>
      <c r="C2714" s="617" t="s">
        <v>4382</v>
      </c>
      <c r="D2714" s="617" t="s">
        <v>99</v>
      </c>
      <c r="E2714" s="617" t="s">
        <v>4851</v>
      </c>
      <c r="F2714" s="617" t="s">
        <v>26</v>
      </c>
      <c r="G2714" s="624"/>
      <c r="O2714" s="616"/>
      <c r="P2714" s="616"/>
      <c r="Q2714" s="616"/>
      <c r="AA2714" s="624"/>
      <c r="AB2714" s="663">
        <v>39153532501</v>
      </c>
      <c r="AC2714" s="663" t="s">
        <v>7646</v>
      </c>
      <c r="AD2714" s="663" t="s">
        <v>4938</v>
      </c>
      <c r="AE2714" s="663" t="s">
        <v>4928</v>
      </c>
      <c r="AF2714" s="663" t="s">
        <v>4929</v>
      </c>
    </row>
    <row r="2715" spans="1:32" s="608" customFormat="1" x14ac:dyDescent="0.25">
      <c r="A2715" s="624"/>
      <c r="B2715" s="617">
        <v>39151700702</v>
      </c>
      <c r="C2715" s="617" t="s">
        <v>4383</v>
      </c>
      <c r="D2715" s="617" t="s">
        <v>99</v>
      </c>
      <c r="E2715" s="617" t="s">
        <v>4851</v>
      </c>
      <c r="F2715" s="617" t="s">
        <v>26</v>
      </c>
      <c r="G2715" s="624"/>
      <c r="O2715" s="616"/>
      <c r="P2715" s="616"/>
      <c r="Q2715" s="616"/>
      <c r="AA2715" s="624"/>
      <c r="AB2715" s="663">
        <v>39153532502</v>
      </c>
      <c r="AC2715" s="663" t="s">
        <v>7647</v>
      </c>
      <c r="AD2715" s="663" t="s">
        <v>4938</v>
      </c>
      <c r="AE2715" s="663" t="s">
        <v>4942</v>
      </c>
      <c r="AF2715" s="663" t="s">
        <v>4946</v>
      </c>
    </row>
    <row r="2716" spans="1:32" s="608" customFormat="1" x14ac:dyDescent="0.25">
      <c r="A2716" s="624"/>
      <c r="B2716" s="617">
        <v>39151700800</v>
      </c>
      <c r="C2716" s="617" t="s">
        <v>4384</v>
      </c>
      <c r="D2716" s="617" t="s">
        <v>99</v>
      </c>
      <c r="E2716" s="617" t="s">
        <v>4851</v>
      </c>
      <c r="F2716" s="617" t="s">
        <v>24</v>
      </c>
      <c r="G2716" s="624"/>
      <c r="O2716" s="616"/>
      <c r="P2716" s="616"/>
      <c r="Q2716" s="616"/>
      <c r="AA2716" s="624"/>
      <c r="AB2716" s="663">
        <v>39153532600</v>
      </c>
      <c r="AC2716" s="663" t="s">
        <v>7648</v>
      </c>
      <c r="AD2716" s="663" t="s">
        <v>4941</v>
      </c>
      <c r="AE2716" s="663" t="s">
        <v>4934</v>
      </c>
      <c r="AF2716" s="663" t="s">
        <v>4946</v>
      </c>
    </row>
    <row r="2717" spans="1:32" s="608" customFormat="1" x14ac:dyDescent="0.25">
      <c r="A2717" s="624"/>
      <c r="B2717" s="617">
        <v>39151701000</v>
      </c>
      <c r="C2717" s="617" t="s">
        <v>4385</v>
      </c>
      <c r="D2717" s="617" t="s">
        <v>99</v>
      </c>
      <c r="E2717" s="617" t="s">
        <v>4851</v>
      </c>
      <c r="F2717" s="617" t="s">
        <v>24</v>
      </c>
      <c r="G2717" s="624"/>
      <c r="O2717" s="616"/>
      <c r="P2717" s="616"/>
      <c r="Q2717" s="616"/>
      <c r="AA2717" s="624"/>
      <c r="AB2717" s="663">
        <v>39153532701</v>
      </c>
      <c r="AC2717" s="663" t="s">
        <v>7649</v>
      </c>
      <c r="AD2717" s="663" t="s">
        <v>4938</v>
      </c>
      <c r="AE2717" s="663" t="s">
        <v>4931</v>
      </c>
      <c r="AF2717" s="663" t="s">
        <v>4946</v>
      </c>
    </row>
    <row r="2718" spans="1:32" s="608" customFormat="1" x14ac:dyDescent="0.25">
      <c r="A2718" s="624"/>
      <c r="B2718" s="617">
        <v>39151701100</v>
      </c>
      <c r="C2718" s="617" t="s">
        <v>4386</v>
      </c>
      <c r="D2718" s="617" t="s">
        <v>99</v>
      </c>
      <c r="E2718" s="617" t="s">
        <v>4851</v>
      </c>
      <c r="F2718" s="617" t="s">
        <v>26</v>
      </c>
      <c r="G2718" s="624"/>
      <c r="O2718" s="616"/>
      <c r="P2718" s="616"/>
      <c r="Q2718" s="616"/>
      <c r="AA2718" s="624"/>
      <c r="AB2718" s="663">
        <v>39153532702</v>
      </c>
      <c r="AC2718" s="663" t="s">
        <v>7650</v>
      </c>
      <c r="AD2718" s="663" t="s">
        <v>4948</v>
      </c>
      <c r="AE2718" s="663" t="s">
        <v>4931</v>
      </c>
      <c r="AF2718" s="663" t="s">
        <v>4946</v>
      </c>
    </row>
    <row r="2719" spans="1:32" s="608" customFormat="1" x14ac:dyDescent="0.25">
      <c r="A2719" s="624"/>
      <c r="B2719" s="617">
        <v>39151701200</v>
      </c>
      <c r="C2719" s="617" t="s">
        <v>4387</v>
      </c>
      <c r="D2719" s="617" t="s">
        <v>99</v>
      </c>
      <c r="E2719" s="617" t="s">
        <v>4851</v>
      </c>
      <c r="F2719" s="617" t="s">
        <v>26</v>
      </c>
      <c r="G2719" s="624"/>
      <c r="O2719" s="616"/>
      <c r="P2719" s="616"/>
      <c r="Q2719" s="616"/>
      <c r="AA2719" s="624"/>
      <c r="AB2719" s="663">
        <v>39153532703</v>
      </c>
      <c r="AC2719" s="663" t="s">
        <v>7651</v>
      </c>
      <c r="AD2719" s="663" t="s">
        <v>4941</v>
      </c>
      <c r="AE2719" s="663" t="s">
        <v>4931</v>
      </c>
      <c r="AF2719" s="663" t="s">
        <v>4946</v>
      </c>
    </row>
    <row r="2720" spans="1:32" s="608" customFormat="1" x14ac:dyDescent="0.25">
      <c r="A2720" s="624"/>
      <c r="B2720" s="617">
        <v>39151701300</v>
      </c>
      <c r="C2720" s="617" t="s">
        <v>4388</v>
      </c>
      <c r="D2720" s="617" t="s">
        <v>99</v>
      </c>
      <c r="E2720" s="617" t="s">
        <v>4851</v>
      </c>
      <c r="F2720" s="617" t="s">
        <v>24</v>
      </c>
      <c r="G2720" s="624"/>
      <c r="O2720" s="616"/>
      <c r="P2720" s="616"/>
      <c r="Q2720" s="616"/>
      <c r="AA2720" s="624"/>
      <c r="AB2720" s="663">
        <v>39153532705</v>
      </c>
      <c r="AC2720" s="663" t="s">
        <v>7652</v>
      </c>
      <c r="AD2720" s="663" t="s">
        <v>4941</v>
      </c>
      <c r="AE2720" s="663" t="s">
        <v>4931</v>
      </c>
      <c r="AF2720" s="663" t="s">
        <v>4946</v>
      </c>
    </row>
    <row r="2721" spans="1:32" s="608" customFormat="1" x14ac:dyDescent="0.25">
      <c r="A2721" s="624"/>
      <c r="B2721" s="617">
        <v>39151701500</v>
      </c>
      <c r="C2721" s="617" t="s">
        <v>4389</v>
      </c>
      <c r="D2721" s="617" t="s">
        <v>99</v>
      </c>
      <c r="E2721" s="617" t="s">
        <v>4851</v>
      </c>
      <c r="F2721" s="617" t="s">
        <v>24</v>
      </c>
      <c r="G2721" s="624"/>
      <c r="O2721" s="616"/>
      <c r="P2721" s="616"/>
      <c r="Q2721" s="616"/>
      <c r="AA2721" s="624"/>
      <c r="AB2721" s="663">
        <v>39153532706</v>
      </c>
      <c r="AC2721" s="663" t="s">
        <v>7653</v>
      </c>
      <c r="AD2721" s="663" t="s">
        <v>4941</v>
      </c>
      <c r="AE2721" s="663" t="s">
        <v>4931</v>
      </c>
      <c r="AF2721" s="663" t="s">
        <v>4946</v>
      </c>
    </row>
    <row r="2722" spans="1:32" s="608" customFormat="1" x14ac:dyDescent="0.25">
      <c r="A2722" s="624"/>
      <c r="B2722" s="617">
        <v>39151701700</v>
      </c>
      <c r="C2722" s="617" t="s">
        <v>4390</v>
      </c>
      <c r="D2722" s="617" t="s">
        <v>99</v>
      </c>
      <c r="E2722" s="617" t="s">
        <v>4851</v>
      </c>
      <c r="F2722" s="617" t="s">
        <v>24</v>
      </c>
      <c r="G2722" s="624"/>
      <c r="O2722" s="616"/>
      <c r="P2722" s="616"/>
      <c r="Q2722" s="616"/>
      <c r="AA2722" s="624"/>
      <c r="AB2722" s="663">
        <v>39153532708</v>
      </c>
      <c r="AC2722" s="663" t="s">
        <v>7654</v>
      </c>
      <c r="AD2722" s="663" t="s">
        <v>4938</v>
      </c>
      <c r="AE2722" s="663" t="s">
        <v>4934</v>
      </c>
      <c r="AF2722" s="663" t="s">
        <v>4946</v>
      </c>
    </row>
    <row r="2723" spans="1:32" s="608" customFormat="1" x14ac:dyDescent="0.25">
      <c r="A2723" s="624"/>
      <c r="B2723" s="617">
        <v>39151701800</v>
      </c>
      <c r="C2723" s="617" t="s">
        <v>4391</v>
      </c>
      <c r="D2723" s="617" t="s">
        <v>99</v>
      </c>
      <c r="E2723" s="617" t="s">
        <v>4851</v>
      </c>
      <c r="F2723" s="617" t="s">
        <v>24</v>
      </c>
      <c r="G2723" s="624"/>
      <c r="O2723" s="616"/>
      <c r="P2723" s="616"/>
      <c r="Q2723" s="616"/>
      <c r="AA2723" s="624"/>
      <c r="AB2723" s="663">
        <v>39153532901</v>
      </c>
      <c r="AC2723" s="663" t="s">
        <v>7655</v>
      </c>
      <c r="AD2723" s="663" t="s">
        <v>4948</v>
      </c>
      <c r="AE2723" s="663" t="s">
        <v>4928</v>
      </c>
      <c r="AF2723" s="663" t="s">
        <v>4946</v>
      </c>
    </row>
    <row r="2724" spans="1:32" s="608" customFormat="1" x14ac:dyDescent="0.25">
      <c r="A2724" s="624"/>
      <c r="B2724" s="617">
        <v>39151702100</v>
      </c>
      <c r="C2724" s="617" t="s">
        <v>4392</v>
      </c>
      <c r="D2724" s="617" t="s">
        <v>99</v>
      </c>
      <c r="E2724" s="617" t="s">
        <v>4851</v>
      </c>
      <c r="F2724" s="617" t="s">
        <v>24</v>
      </c>
      <c r="G2724" s="624"/>
      <c r="O2724" s="616"/>
      <c r="P2724" s="616"/>
      <c r="Q2724" s="616"/>
      <c r="AA2724" s="624"/>
      <c r="AB2724" s="663">
        <v>39153532902</v>
      </c>
      <c r="AC2724" s="663" t="s">
        <v>7656</v>
      </c>
      <c r="AD2724" s="663" t="s">
        <v>4941</v>
      </c>
      <c r="AE2724" s="663" t="s">
        <v>4942</v>
      </c>
      <c r="AF2724" s="663" t="s">
        <v>4946</v>
      </c>
    </row>
    <row r="2725" spans="1:32" s="608" customFormat="1" x14ac:dyDescent="0.25">
      <c r="A2725" s="624"/>
      <c r="B2725" s="617">
        <v>39151702300</v>
      </c>
      <c r="C2725" s="617" t="s">
        <v>4393</v>
      </c>
      <c r="D2725" s="617" t="s">
        <v>99</v>
      </c>
      <c r="E2725" s="617" t="s">
        <v>4851</v>
      </c>
      <c r="F2725" s="617" t="s">
        <v>24</v>
      </c>
      <c r="G2725" s="624"/>
      <c r="O2725" s="616"/>
      <c r="P2725" s="616"/>
      <c r="Q2725" s="616"/>
      <c r="AA2725" s="624"/>
      <c r="AB2725" s="663">
        <v>39153532999</v>
      </c>
      <c r="AC2725" s="663" t="s">
        <v>7657</v>
      </c>
      <c r="AD2725" s="663" t="s">
        <v>4941</v>
      </c>
      <c r="AE2725" s="663" t="s">
        <v>4931</v>
      </c>
      <c r="AF2725" s="663" t="s">
        <v>4946</v>
      </c>
    </row>
    <row r="2726" spans="1:32" s="608" customFormat="1" x14ac:dyDescent="0.25">
      <c r="A2726" s="624"/>
      <c r="B2726" s="617">
        <v>39151702500</v>
      </c>
      <c r="C2726" s="617" t="s">
        <v>4394</v>
      </c>
      <c r="D2726" s="617" t="s">
        <v>99</v>
      </c>
      <c r="E2726" s="617" t="s">
        <v>4851</v>
      </c>
      <c r="F2726" s="617" t="s">
        <v>24</v>
      </c>
      <c r="G2726" s="624"/>
      <c r="O2726" s="616"/>
      <c r="P2726" s="616"/>
      <c r="Q2726" s="616"/>
      <c r="AA2726" s="624"/>
      <c r="AB2726" s="663">
        <v>39153533000</v>
      </c>
      <c r="AC2726" s="663" t="s">
        <v>7658</v>
      </c>
      <c r="AD2726" s="663" t="s">
        <v>4950</v>
      </c>
      <c r="AE2726" s="663" t="s">
        <v>4931</v>
      </c>
      <c r="AF2726" s="663" t="s">
        <v>4946</v>
      </c>
    </row>
    <row r="2727" spans="1:32" s="608" customFormat="1" x14ac:dyDescent="0.25">
      <c r="A2727" s="624"/>
      <c r="B2727" s="617">
        <v>39151710200</v>
      </c>
      <c r="C2727" s="617" t="s">
        <v>4395</v>
      </c>
      <c r="D2727" s="617" t="s">
        <v>99</v>
      </c>
      <c r="E2727" s="617" t="s">
        <v>4851</v>
      </c>
      <c r="F2727" s="617" t="s">
        <v>24</v>
      </c>
      <c r="G2727" s="624"/>
      <c r="O2727" s="616"/>
      <c r="P2727" s="616"/>
      <c r="Q2727" s="616"/>
      <c r="AA2727" s="624"/>
      <c r="AB2727" s="663">
        <v>39153533101</v>
      </c>
      <c r="AC2727" s="663" t="s">
        <v>7659</v>
      </c>
      <c r="AD2727" s="663" t="s">
        <v>4938</v>
      </c>
      <c r="AE2727" s="663" t="s">
        <v>4942</v>
      </c>
      <c r="AF2727" s="663" t="s">
        <v>4946</v>
      </c>
    </row>
    <row r="2728" spans="1:32" s="608" customFormat="1" x14ac:dyDescent="0.25">
      <c r="A2728" s="624"/>
      <c r="B2728" s="617">
        <v>39151710300</v>
      </c>
      <c r="C2728" s="617" t="s">
        <v>4396</v>
      </c>
      <c r="D2728" s="617" t="s">
        <v>99</v>
      </c>
      <c r="E2728" s="617" t="s">
        <v>4851</v>
      </c>
      <c r="F2728" s="617" t="s">
        <v>26</v>
      </c>
      <c r="G2728" s="624"/>
      <c r="O2728" s="616"/>
      <c r="P2728" s="616"/>
      <c r="Q2728" s="616"/>
      <c r="AA2728" s="624"/>
      <c r="AB2728" s="663">
        <v>39153533102</v>
      </c>
      <c r="AC2728" s="663" t="s">
        <v>7660</v>
      </c>
      <c r="AD2728" s="663" t="s">
        <v>4938</v>
      </c>
      <c r="AE2728" s="663" t="s">
        <v>4939</v>
      </c>
      <c r="AF2728" s="663" t="s">
        <v>4946</v>
      </c>
    </row>
    <row r="2729" spans="1:32" s="608" customFormat="1" x14ac:dyDescent="0.25">
      <c r="A2729" s="624"/>
      <c r="B2729" s="617">
        <v>39151710400</v>
      </c>
      <c r="C2729" s="617" t="s">
        <v>4397</v>
      </c>
      <c r="D2729" s="617" t="s">
        <v>99</v>
      </c>
      <c r="E2729" s="617" t="s">
        <v>4851</v>
      </c>
      <c r="F2729" s="617" t="s">
        <v>24</v>
      </c>
      <c r="G2729" s="624"/>
      <c r="O2729" s="616"/>
      <c r="P2729" s="616"/>
      <c r="Q2729" s="616"/>
      <c r="AA2729" s="624"/>
      <c r="AB2729" s="663">
        <v>39153533200</v>
      </c>
      <c r="AC2729" s="663" t="s">
        <v>7661</v>
      </c>
      <c r="AD2729" s="663" t="s">
        <v>4938</v>
      </c>
      <c r="AE2729" s="663" t="s">
        <v>4934</v>
      </c>
      <c r="AF2729" s="663" t="s">
        <v>4946</v>
      </c>
    </row>
    <row r="2730" spans="1:32" s="608" customFormat="1" x14ac:dyDescent="0.25">
      <c r="A2730" s="624"/>
      <c r="B2730" s="617">
        <v>39151710500</v>
      </c>
      <c r="C2730" s="617" t="s">
        <v>4398</v>
      </c>
      <c r="D2730" s="617" t="s">
        <v>99</v>
      </c>
      <c r="E2730" s="617" t="s">
        <v>4851</v>
      </c>
      <c r="F2730" s="617" t="s">
        <v>24</v>
      </c>
      <c r="G2730" s="624"/>
      <c r="O2730" s="616"/>
      <c r="P2730" s="616"/>
      <c r="Q2730" s="616"/>
      <c r="AA2730" s="624"/>
      <c r="AB2730" s="663">
        <v>39153533400</v>
      </c>
      <c r="AC2730" s="663" t="s">
        <v>7662</v>
      </c>
      <c r="AD2730" s="663" t="s">
        <v>4938</v>
      </c>
      <c r="AE2730" s="663" t="s">
        <v>4931</v>
      </c>
      <c r="AF2730" s="663" t="s">
        <v>4929</v>
      </c>
    </row>
    <row r="2731" spans="1:32" s="608" customFormat="1" x14ac:dyDescent="0.25">
      <c r="A2731" s="624"/>
      <c r="B2731" s="617">
        <v>39151710600</v>
      </c>
      <c r="C2731" s="617" t="s">
        <v>4399</v>
      </c>
      <c r="D2731" s="617" t="s">
        <v>99</v>
      </c>
      <c r="E2731" s="617" t="s">
        <v>4851</v>
      </c>
      <c r="F2731" s="617" t="s">
        <v>26</v>
      </c>
      <c r="G2731" s="624"/>
      <c r="O2731" s="616"/>
      <c r="P2731" s="616"/>
      <c r="Q2731" s="616"/>
      <c r="AA2731" s="624"/>
      <c r="AB2731" s="663">
        <v>39153533501</v>
      </c>
      <c r="AC2731" s="663" t="s">
        <v>7663</v>
      </c>
      <c r="AD2731" s="663" t="s">
        <v>4938</v>
      </c>
      <c r="AE2731" s="663" t="s">
        <v>4942</v>
      </c>
      <c r="AF2731" s="663" t="s">
        <v>4946</v>
      </c>
    </row>
    <row r="2732" spans="1:32" s="608" customFormat="1" x14ac:dyDescent="0.25">
      <c r="A2732" s="624"/>
      <c r="B2732" s="617">
        <v>39151710700</v>
      </c>
      <c r="C2732" s="617" t="s">
        <v>4400</v>
      </c>
      <c r="D2732" s="617" t="s">
        <v>99</v>
      </c>
      <c r="E2732" s="617" t="s">
        <v>4851</v>
      </c>
      <c r="F2732" s="617" t="s">
        <v>26</v>
      </c>
      <c r="G2732" s="624"/>
      <c r="O2732" s="616"/>
      <c r="P2732" s="616"/>
      <c r="Q2732" s="616"/>
      <c r="AA2732" s="624"/>
      <c r="AB2732" s="663">
        <v>39153533502</v>
      </c>
      <c r="AC2732" s="663" t="s">
        <v>7664</v>
      </c>
      <c r="AD2732" s="663" t="s">
        <v>4938</v>
      </c>
      <c r="AE2732" s="663" t="s">
        <v>4939</v>
      </c>
      <c r="AF2732" s="663" t="s">
        <v>4929</v>
      </c>
    </row>
    <row r="2733" spans="1:32" s="608" customFormat="1" x14ac:dyDescent="0.25">
      <c r="A2733" s="624"/>
      <c r="B2733" s="617">
        <v>39151710800</v>
      </c>
      <c r="C2733" s="617" t="s">
        <v>4401</v>
      </c>
      <c r="D2733" s="617" t="s">
        <v>99</v>
      </c>
      <c r="E2733" s="617" t="s">
        <v>4851</v>
      </c>
      <c r="F2733" s="617" t="s">
        <v>26</v>
      </c>
      <c r="G2733" s="624"/>
      <c r="O2733" s="616"/>
      <c r="P2733" s="616"/>
      <c r="Q2733" s="616"/>
      <c r="AA2733" s="624"/>
      <c r="AB2733" s="663">
        <v>39153534000</v>
      </c>
      <c r="AC2733" s="663" t="s">
        <v>7665</v>
      </c>
      <c r="AD2733" s="663" t="s">
        <v>4938</v>
      </c>
      <c r="AE2733" s="663" t="s">
        <v>4931</v>
      </c>
      <c r="AF2733" s="663" t="s">
        <v>4946</v>
      </c>
    </row>
    <row r="2734" spans="1:32" s="608" customFormat="1" x14ac:dyDescent="0.25">
      <c r="A2734" s="624"/>
      <c r="B2734" s="617">
        <v>39151710900</v>
      </c>
      <c r="C2734" s="617" t="s">
        <v>4402</v>
      </c>
      <c r="D2734" s="617" t="s">
        <v>99</v>
      </c>
      <c r="E2734" s="617" t="s">
        <v>4851</v>
      </c>
      <c r="F2734" s="617" t="s">
        <v>26</v>
      </c>
      <c r="G2734" s="624"/>
      <c r="O2734" s="616"/>
      <c r="P2734" s="616"/>
      <c r="Q2734" s="616"/>
      <c r="AA2734" s="624"/>
      <c r="AB2734" s="663">
        <v>39153534100</v>
      </c>
      <c r="AC2734" s="663" t="s">
        <v>7666</v>
      </c>
      <c r="AD2734" s="663" t="s">
        <v>4938</v>
      </c>
      <c r="AE2734" s="663" t="s">
        <v>4934</v>
      </c>
      <c r="AF2734" s="663" t="s">
        <v>4946</v>
      </c>
    </row>
    <row r="2735" spans="1:32" s="608" customFormat="1" x14ac:dyDescent="0.25">
      <c r="A2735" s="624"/>
      <c r="B2735" s="617">
        <v>39151711001</v>
      </c>
      <c r="C2735" s="617" t="s">
        <v>4403</v>
      </c>
      <c r="D2735" s="617" t="s">
        <v>99</v>
      </c>
      <c r="E2735" s="617" t="s">
        <v>4851</v>
      </c>
      <c r="F2735" s="617" t="s">
        <v>26</v>
      </c>
      <c r="G2735" s="624"/>
      <c r="O2735" s="616"/>
      <c r="P2735" s="616"/>
      <c r="Q2735" s="616"/>
      <c r="AA2735" s="624"/>
      <c r="AB2735" s="663">
        <v>39155920300</v>
      </c>
      <c r="AC2735" s="663" t="s">
        <v>7667</v>
      </c>
      <c r="AD2735" s="663" t="s">
        <v>4938</v>
      </c>
      <c r="AE2735" s="663" t="s">
        <v>4928</v>
      </c>
      <c r="AF2735" s="663" t="s">
        <v>4962</v>
      </c>
    </row>
    <row r="2736" spans="1:32" s="608" customFormat="1" x14ac:dyDescent="0.25">
      <c r="A2736" s="624"/>
      <c r="B2736" s="617">
        <v>39151711002</v>
      </c>
      <c r="C2736" s="617" t="s">
        <v>4404</v>
      </c>
      <c r="D2736" s="617" t="s">
        <v>99</v>
      </c>
      <c r="E2736" s="617" t="s">
        <v>4851</v>
      </c>
      <c r="F2736" s="617" t="s">
        <v>26</v>
      </c>
      <c r="G2736" s="624"/>
      <c r="O2736" s="616"/>
      <c r="P2736" s="616"/>
      <c r="Q2736" s="616"/>
      <c r="AA2736" s="624"/>
      <c r="AB2736" s="663">
        <v>39155920400</v>
      </c>
      <c r="AC2736" s="663" t="s">
        <v>7668</v>
      </c>
      <c r="AD2736" s="663" t="s">
        <v>4941</v>
      </c>
      <c r="AE2736" s="663" t="s">
        <v>4939</v>
      </c>
      <c r="AF2736" s="663" t="s">
        <v>4962</v>
      </c>
    </row>
    <row r="2737" spans="1:32" s="608" customFormat="1" x14ac:dyDescent="0.25">
      <c r="A2737" s="624"/>
      <c r="B2737" s="617">
        <v>39151711111</v>
      </c>
      <c r="C2737" s="617" t="s">
        <v>4405</v>
      </c>
      <c r="D2737" s="617" t="s">
        <v>99</v>
      </c>
      <c r="E2737" s="617" t="s">
        <v>4851</v>
      </c>
      <c r="F2737" s="617" t="s">
        <v>26</v>
      </c>
      <c r="G2737" s="624"/>
      <c r="O2737" s="616"/>
      <c r="P2737" s="616"/>
      <c r="Q2737" s="616"/>
      <c r="AA2737" s="624"/>
      <c r="AB2737" s="663">
        <v>39155920500</v>
      </c>
      <c r="AC2737" s="663" t="s">
        <v>7669</v>
      </c>
      <c r="AD2737" s="663" t="s">
        <v>4927</v>
      </c>
      <c r="AE2737" s="663" t="s">
        <v>4939</v>
      </c>
      <c r="AF2737" s="663" t="s">
        <v>4946</v>
      </c>
    </row>
    <row r="2738" spans="1:32" s="608" customFormat="1" x14ac:dyDescent="0.25">
      <c r="A2738" s="624"/>
      <c r="B2738" s="617">
        <v>39151711112</v>
      </c>
      <c r="C2738" s="617" t="s">
        <v>4406</v>
      </c>
      <c r="D2738" s="617" t="s">
        <v>99</v>
      </c>
      <c r="E2738" s="617" t="s">
        <v>4851</v>
      </c>
      <c r="F2738" s="617" t="s">
        <v>26</v>
      </c>
      <c r="G2738" s="624"/>
      <c r="O2738" s="616"/>
      <c r="P2738" s="616"/>
      <c r="Q2738" s="616"/>
      <c r="AA2738" s="624"/>
      <c r="AB2738" s="663">
        <v>39155920600</v>
      </c>
      <c r="AC2738" s="663" t="s">
        <v>7670</v>
      </c>
      <c r="AD2738" s="663" t="s">
        <v>4927</v>
      </c>
      <c r="AE2738" s="663" t="s">
        <v>4934</v>
      </c>
      <c r="AF2738" s="663" t="s">
        <v>4946</v>
      </c>
    </row>
    <row r="2739" spans="1:32" s="608" customFormat="1" x14ac:dyDescent="0.25">
      <c r="A2739" s="624"/>
      <c r="B2739" s="617">
        <v>39151711121</v>
      </c>
      <c r="C2739" s="617" t="s">
        <v>4407</v>
      </c>
      <c r="D2739" s="617" t="s">
        <v>99</v>
      </c>
      <c r="E2739" s="617" t="s">
        <v>4851</v>
      </c>
      <c r="F2739" s="617" t="s">
        <v>26</v>
      </c>
      <c r="G2739" s="624"/>
      <c r="O2739" s="616"/>
      <c r="P2739" s="616"/>
      <c r="Q2739" s="616"/>
      <c r="AA2739" s="624"/>
      <c r="AB2739" s="663">
        <v>39155920700</v>
      </c>
      <c r="AC2739" s="663" t="s">
        <v>7671</v>
      </c>
      <c r="AD2739" s="663" t="s">
        <v>4927</v>
      </c>
      <c r="AE2739" s="663" t="s">
        <v>4928</v>
      </c>
      <c r="AF2739" s="663" t="s">
        <v>4929</v>
      </c>
    </row>
    <row r="2740" spans="1:32" s="608" customFormat="1" x14ac:dyDescent="0.25">
      <c r="A2740" s="624"/>
      <c r="B2740" s="617">
        <v>39151711122</v>
      </c>
      <c r="C2740" s="617" t="s">
        <v>4408</v>
      </c>
      <c r="D2740" s="617" t="s">
        <v>99</v>
      </c>
      <c r="E2740" s="617" t="s">
        <v>4851</v>
      </c>
      <c r="F2740" s="617" t="s">
        <v>26</v>
      </c>
      <c r="G2740" s="624"/>
      <c r="O2740" s="616"/>
      <c r="P2740" s="616"/>
      <c r="Q2740" s="616"/>
      <c r="AA2740" s="624"/>
      <c r="AB2740" s="663">
        <v>39155920800</v>
      </c>
      <c r="AC2740" s="663" t="s">
        <v>7672</v>
      </c>
      <c r="AD2740" s="663" t="s">
        <v>4927</v>
      </c>
      <c r="AE2740" s="663" t="s">
        <v>4931</v>
      </c>
      <c r="AF2740" s="663" t="s">
        <v>4962</v>
      </c>
    </row>
    <row r="2741" spans="1:32" s="608" customFormat="1" x14ac:dyDescent="0.25">
      <c r="A2741" s="624"/>
      <c r="B2741" s="617">
        <v>39151711202</v>
      </c>
      <c r="C2741" s="617" t="s">
        <v>4409</v>
      </c>
      <c r="D2741" s="617" t="s">
        <v>99</v>
      </c>
      <c r="E2741" s="617" t="s">
        <v>4851</v>
      </c>
      <c r="F2741" s="617" t="s">
        <v>26</v>
      </c>
      <c r="G2741" s="624"/>
      <c r="O2741" s="616"/>
      <c r="P2741" s="616"/>
      <c r="Q2741" s="616"/>
      <c r="AA2741" s="624"/>
      <c r="AB2741" s="663">
        <v>39155920900</v>
      </c>
      <c r="AC2741" s="663" t="s">
        <v>7673</v>
      </c>
      <c r="AD2741" s="663" t="s">
        <v>4927</v>
      </c>
      <c r="AE2741" s="663" t="s">
        <v>4934</v>
      </c>
      <c r="AF2741" s="663" t="s">
        <v>4946</v>
      </c>
    </row>
    <row r="2742" spans="1:32" s="608" customFormat="1" x14ac:dyDescent="0.25">
      <c r="A2742" s="624"/>
      <c r="B2742" s="617">
        <v>39151711211</v>
      </c>
      <c r="C2742" s="617" t="s">
        <v>4410</v>
      </c>
      <c r="D2742" s="617" t="s">
        <v>99</v>
      </c>
      <c r="E2742" s="617" t="s">
        <v>4851</v>
      </c>
      <c r="F2742" s="617" t="s">
        <v>26</v>
      </c>
      <c r="G2742" s="624"/>
      <c r="O2742" s="616"/>
      <c r="P2742" s="616"/>
      <c r="Q2742" s="616"/>
      <c r="AA2742" s="624"/>
      <c r="AB2742" s="663">
        <v>39155921000</v>
      </c>
      <c r="AC2742" s="663" t="s">
        <v>7674</v>
      </c>
      <c r="AD2742" s="663" t="s">
        <v>4927</v>
      </c>
      <c r="AE2742" s="663" t="s">
        <v>4928</v>
      </c>
      <c r="AF2742" s="663" t="s">
        <v>4946</v>
      </c>
    </row>
    <row r="2743" spans="1:32" s="608" customFormat="1" x14ac:dyDescent="0.25">
      <c r="A2743" s="624"/>
      <c r="B2743" s="617">
        <v>39151711212</v>
      </c>
      <c r="C2743" s="617" t="s">
        <v>4411</v>
      </c>
      <c r="D2743" s="617" t="s">
        <v>99</v>
      </c>
      <c r="E2743" s="617" t="s">
        <v>4851</v>
      </c>
      <c r="F2743" s="617" t="s">
        <v>26</v>
      </c>
      <c r="G2743" s="624"/>
      <c r="O2743" s="616"/>
      <c r="P2743" s="616"/>
      <c r="Q2743" s="616"/>
      <c r="AA2743" s="624"/>
      <c r="AB2743" s="663">
        <v>39155921100</v>
      </c>
      <c r="AC2743" s="663" t="s">
        <v>7675</v>
      </c>
      <c r="AD2743" s="663" t="s">
        <v>4948</v>
      </c>
      <c r="AE2743" s="663" t="s">
        <v>4928</v>
      </c>
      <c r="AF2743" s="663" t="s">
        <v>4962</v>
      </c>
    </row>
    <row r="2744" spans="1:32" s="608" customFormat="1" x14ac:dyDescent="0.25">
      <c r="A2744" s="624"/>
      <c r="B2744" s="617">
        <v>39151711312</v>
      </c>
      <c r="C2744" s="617" t="s">
        <v>4412</v>
      </c>
      <c r="D2744" s="617" t="s">
        <v>99</v>
      </c>
      <c r="E2744" s="617" t="s">
        <v>4851</v>
      </c>
      <c r="F2744" s="617" t="s">
        <v>26</v>
      </c>
      <c r="G2744" s="624"/>
      <c r="O2744" s="616"/>
      <c r="P2744" s="616"/>
      <c r="Q2744" s="616"/>
      <c r="AA2744" s="624"/>
      <c r="AB2744" s="663">
        <v>39155921200</v>
      </c>
      <c r="AC2744" s="663" t="s">
        <v>7676</v>
      </c>
      <c r="AD2744" s="663" t="s">
        <v>4927</v>
      </c>
      <c r="AE2744" s="663" t="s">
        <v>4931</v>
      </c>
      <c r="AF2744" s="663" t="s">
        <v>4946</v>
      </c>
    </row>
    <row r="2745" spans="1:32" s="608" customFormat="1" x14ac:dyDescent="0.25">
      <c r="A2745" s="624"/>
      <c r="B2745" s="617">
        <v>39151711321</v>
      </c>
      <c r="C2745" s="617" t="s">
        <v>4413</v>
      </c>
      <c r="D2745" s="617" t="s">
        <v>99</v>
      </c>
      <c r="E2745" s="617" t="s">
        <v>4851</v>
      </c>
      <c r="F2745" s="617" t="s">
        <v>26</v>
      </c>
      <c r="G2745" s="624"/>
      <c r="O2745" s="616"/>
      <c r="P2745" s="616"/>
      <c r="Q2745" s="616"/>
      <c r="AA2745" s="624"/>
      <c r="AB2745" s="663">
        <v>39155921300</v>
      </c>
      <c r="AC2745" s="663" t="s">
        <v>7677</v>
      </c>
      <c r="AD2745" s="663" t="s">
        <v>4941</v>
      </c>
      <c r="AE2745" s="663" t="s">
        <v>4928</v>
      </c>
      <c r="AF2745" s="663" t="s">
        <v>4946</v>
      </c>
    </row>
    <row r="2746" spans="1:32" s="608" customFormat="1" x14ac:dyDescent="0.25">
      <c r="A2746" s="624"/>
      <c r="B2746" s="617">
        <v>39151711322</v>
      </c>
      <c r="C2746" s="617" t="s">
        <v>4414</v>
      </c>
      <c r="D2746" s="617" t="s">
        <v>99</v>
      </c>
      <c r="E2746" s="617" t="s">
        <v>4851</v>
      </c>
      <c r="F2746" s="617" t="s">
        <v>26</v>
      </c>
      <c r="G2746" s="624"/>
      <c r="O2746" s="616"/>
      <c r="P2746" s="616"/>
      <c r="Q2746" s="616"/>
      <c r="AA2746" s="624"/>
      <c r="AB2746" s="663">
        <v>39155921400</v>
      </c>
      <c r="AC2746" s="663" t="s">
        <v>7678</v>
      </c>
      <c r="AD2746" s="663" t="s">
        <v>4948</v>
      </c>
      <c r="AE2746" s="663" t="s">
        <v>4934</v>
      </c>
      <c r="AF2746" s="663" t="s">
        <v>4946</v>
      </c>
    </row>
    <row r="2747" spans="1:32" s="608" customFormat="1" x14ac:dyDescent="0.25">
      <c r="A2747" s="624"/>
      <c r="B2747" s="617">
        <v>39151711323</v>
      </c>
      <c r="C2747" s="617" t="s">
        <v>4415</v>
      </c>
      <c r="D2747" s="617" t="s">
        <v>99</v>
      </c>
      <c r="E2747" s="617" t="s">
        <v>4851</v>
      </c>
      <c r="F2747" s="617" t="s">
        <v>26</v>
      </c>
      <c r="G2747" s="624"/>
      <c r="O2747" s="616"/>
      <c r="P2747" s="616"/>
      <c r="Q2747" s="616"/>
      <c r="AA2747" s="624"/>
      <c r="AB2747" s="663">
        <v>39155921500</v>
      </c>
      <c r="AC2747" s="663" t="s">
        <v>7679</v>
      </c>
      <c r="AD2747" s="663" t="s">
        <v>4948</v>
      </c>
      <c r="AE2747" s="663" t="s">
        <v>4928</v>
      </c>
      <c r="AF2747" s="663" t="s">
        <v>4946</v>
      </c>
    </row>
    <row r="2748" spans="1:32" s="608" customFormat="1" x14ac:dyDescent="0.25">
      <c r="A2748" s="624"/>
      <c r="B2748" s="617">
        <v>39151711324</v>
      </c>
      <c r="C2748" s="617" t="s">
        <v>4416</v>
      </c>
      <c r="D2748" s="617" t="s">
        <v>99</v>
      </c>
      <c r="E2748" s="617" t="s">
        <v>4851</v>
      </c>
      <c r="F2748" s="617" t="s">
        <v>26</v>
      </c>
      <c r="G2748" s="624"/>
      <c r="O2748" s="616"/>
      <c r="P2748" s="616"/>
      <c r="Q2748" s="616"/>
      <c r="AA2748" s="624"/>
      <c r="AB2748" s="663">
        <v>39155921600</v>
      </c>
      <c r="AC2748" s="663" t="s">
        <v>7680</v>
      </c>
      <c r="AD2748" s="663" t="s">
        <v>4941</v>
      </c>
      <c r="AE2748" s="663" t="s">
        <v>4934</v>
      </c>
      <c r="AF2748" s="663" t="s">
        <v>4962</v>
      </c>
    </row>
    <row r="2749" spans="1:32" s="608" customFormat="1" x14ac:dyDescent="0.25">
      <c r="A2749" s="624"/>
      <c r="B2749" s="617">
        <v>39151711402</v>
      </c>
      <c r="C2749" s="617" t="s">
        <v>4417</v>
      </c>
      <c r="D2749" s="617" t="s">
        <v>99</v>
      </c>
      <c r="E2749" s="617" t="s">
        <v>4851</v>
      </c>
      <c r="F2749" s="617" t="s">
        <v>26</v>
      </c>
      <c r="G2749" s="624"/>
      <c r="O2749" s="616"/>
      <c r="P2749" s="616"/>
      <c r="Q2749" s="616"/>
      <c r="AA2749" s="624"/>
      <c r="AB2749" s="663">
        <v>39155930101</v>
      </c>
      <c r="AC2749" s="663" t="s">
        <v>7681</v>
      </c>
      <c r="AD2749" s="663" t="s">
        <v>4948</v>
      </c>
      <c r="AE2749" s="663" t="s">
        <v>4942</v>
      </c>
      <c r="AF2749" s="663" t="s">
        <v>4929</v>
      </c>
    </row>
    <row r="2750" spans="1:32" s="608" customFormat="1" x14ac:dyDescent="0.25">
      <c r="A2750" s="624"/>
      <c r="B2750" s="617">
        <v>39151711411</v>
      </c>
      <c r="C2750" s="617" t="s">
        <v>4418</v>
      </c>
      <c r="D2750" s="617" t="s">
        <v>99</v>
      </c>
      <c r="E2750" s="617" t="s">
        <v>4851</v>
      </c>
      <c r="F2750" s="617" t="s">
        <v>26</v>
      </c>
      <c r="G2750" s="624"/>
      <c r="O2750" s="616"/>
      <c r="P2750" s="616"/>
      <c r="Q2750" s="616"/>
      <c r="AA2750" s="624"/>
      <c r="AB2750" s="663">
        <v>39155930102</v>
      </c>
      <c r="AC2750" s="663" t="s">
        <v>7682</v>
      </c>
      <c r="AD2750" s="663" t="s">
        <v>4948</v>
      </c>
      <c r="AE2750" s="663" t="s">
        <v>4942</v>
      </c>
      <c r="AF2750" s="663" t="s">
        <v>4929</v>
      </c>
    </row>
    <row r="2751" spans="1:32" s="608" customFormat="1" x14ac:dyDescent="0.25">
      <c r="A2751" s="624"/>
      <c r="B2751" s="617">
        <v>39151711412</v>
      </c>
      <c r="C2751" s="617" t="s">
        <v>4419</v>
      </c>
      <c r="D2751" s="617" t="s">
        <v>99</v>
      </c>
      <c r="E2751" s="617" t="s">
        <v>4851</v>
      </c>
      <c r="F2751" s="617" t="s">
        <v>26</v>
      </c>
      <c r="G2751" s="624"/>
      <c r="O2751" s="616"/>
      <c r="P2751" s="616"/>
      <c r="Q2751" s="616"/>
      <c r="AA2751" s="624"/>
      <c r="AB2751" s="663">
        <v>39155930200</v>
      </c>
      <c r="AC2751" s="663" t="s">
        <v>7683</v>
      </c>
      <c r="AD2751" s="663" t="s">
        <v>4948</v>
      </c>
      <c r="AE2751" s="663" t="s">
        <v>4928</v>
      </c>
      <c r="AF2751" s="663" t="s">
        <v>4929</v>
      </c>
    </row>
    <row r="2752" spans="1:32" s="608" customFormat="1" x14ac:dyDescent="0.25">
      <c r="A2752" s="624"/>
      <c r="B2752" s="617">
        <v>39151711501</v>
      </c>
      <c r="C2752" s="617" t="s">
        <v>4420</v>
      </c>
      <c r="D2752" s="617" t="s">
        <v>99</v>
      </c>
      <c r="E2752" s="617" t="s">
        <v>4851</v>
      </c>
      <c r="F2752" s="617" t="s">
        <v>26</v>
      </c>
      <c r="G2752" s="624"/>
      <c r="O2752" s="616"/>
      <c r="P2752" s="616"/>
      <c r="Q2752" s="616"/>
      <c r="AA2752" s="624"/>
      <c r="AB2752" s="663">
        <v>39155930300</v>
      </c>
      <c r="AC2752" s="663" t="s">
        <v>7684</v>
      </c>
      <c r="AD2752" s="663" t="s">
        <v>4948</v>
      </c>
      <c r="AE2752" s="663" t="s">
        <v>4928</v>
      </c>
      <c r="AF2752" s="663" t="s">
        <v>4929</v>
      </c>
    </row>
    <row r="2753" spans="1:32" s="608" customFormat="1" x14ac:dyDescent="0.25">
      <c r="A2753" s="624"/>
      <c r="B2753" s="617">
        <v>39151711502</v>
      </c>
      <c r="C2753" s="617" t="s">
        <v>4421</v>
      </c>
      <c r="D2753" s="617" t="s">
        <v>99</v>
      </c>
      <c r="E2753" s="617" t="s">
        <v>4851</v>
      </c>
      <c r="F2753" s="617" t="s">
        <v>26</v>
      </c>
      <c r="G2753" s="624"/>
      <c r="O2753" s="616"/>
      <c r="P2753" s="616"/>
      <c r="Q2753" s="616"/>
      <c r="AA2753" s="624"/>
      <c r="AB2753" s="663">
        <v>39155930400</v>
      </c>
      <c r="AC2753" s="663" t="s">
        <v>7685</v>
      </c>
      <c r="AD2753" s="663" t="s">
        <v>4948</v>
      </c>
      <c r="AE2753" s="663" t="s">
        <v>4931</v>
      </c>
      <c r="AF2753" s="663" t="s">
        <v>4929</v>
      </c>
    </row>
    <row r="2754" spans="1:32" s="608" customFormat="1" x14ac:dyDescent="0.25">
      <c r="A2754" s="624"/>
      <c r="B2754" s="617">
        <v>39151711600</v>
      </c>
      <c r="C2754" s="617" t="s">
        <v>4422</v>
      </c>
      <c r="D2754" s="617" t="s">
        <v>99</v>
      </c>
      <c r="E2754" s="617" t="s">
        <v>4851</v>
      </c>
      <c r="F2754" s="617" t="s">
        <v>26</v>
      </c>
      <c r="G2754" s="624"/>
      <c r="O2754" s="616"/>
      <c r="P2754" s="616"/>
      <c r="Q2754" s="616"/>
      <c r="AA2754" s="624"/>
      <c r="AB2754" s="663">
        <v>39155930500</v>
      </c>
      <c r="AC2754" s="663" t="s">
        <v>7686</v>
      </c>
      <c r="AD2754" s="663" t="s">
        <v>4927</v>
      </c>
      <c r="AE2754" s="663" t="s">
        <v>4934</v>
      </c>
      <c r="AF2754" s="663" t="s">
        <v>4929</v>
      </c>
    </row>
    <row r="2755" spans="1:32" s="608" customFormat="1" x14ac:dyDescent="0.25">
      <c r="A2755" s="624"/>
      <c r="B2755" s="617">
        <v>39151711700</v>
      </c>
      <c r="C2755" s="617" t="s">
        <v>4423</v>
      </c>
      <c r="D2755" s="617" t="s">
        <v>99</v>
      </c>
      <c r="E2755" s="617" t="s">
        <v>4851</v>
      </c>
      <c r="F2755" s="617" t="s">
        <v>26</v>
      </c>
      <c r="G2755" s="624"/>
      <c r="O2755" s="616"/>
      <c r="P2755" s="616"/>
      <c r="Q2755" s="616"/>
      <c r="AA2755" s="624"/>
      <c r="AB2755" s="663">
        <v>39155930600</v>
      </c>
      <c r="AC2755" s="663" t="s">
        <v>7687</v>
      </c>
      <c r="AD2755" s="663" t="s">
        <v>4948</v>
      </c>
      <c r="AE2755" s="663" t="s">
        <v>4928</v>
      </c>
      <c r="AF2755" s="663" t="s">
        <v>4929</v>
      </c>
    </row>
    <row r="2756" spans="1:32" s="608" customFormat="1" x14ac:dyDescent="0.25">
      <c r="A2756" s="624"/>
      <c r="B2756" s="617">
        <v>39151711800</v>
      </c>
      <c r="C2756" s="617" t="s">
        <v>4424</v>
      </c>
      <c r="D2756" s="617" t="s">
        <v>99</v>
      </c>
      <c r="E2756" s="617" t="s">
        <v>4851</v>
      </c>
      <c r="F2756" s="617" t="s">
        <v>26</v>
      </c>
      <c r="G2756" s="624"/>
      <c r="O2756" s="616"/>
      <c r="P2756" s="616"/>
      <c r="Q2756" s="616"/>
      <c r="AA2756" s="624"/>
      <c r="AB2756" s="663">
        <v>39155930700</v>
      </c>
      <c r="AC2756" s="663" t="s">
        <v>7688</v>
      </c>
      <c r="AD2756" s="663" t="s">
        <v>4941</v>
      </c>
      <c r="AE2756" s="663" t="s">
        <v>4931</v>
      </c>
      <c r="AF2756" s="663" t="s">
        <v>4929</v>
      </c>
    </row>
    <row r="2757" spans="1:32" s="608" customFormat="1" x14ac:dyDescent="0.25">
      <c r="A2757" s="624"/>
      <c r="B2757" s="617">
        <v>39151711900</v>
      </c>
      <c r="C2757" s="617" t="s">
        <v>4425</v>
      </c>
      <c r="D2757" s="617" t="s">
        <v>99</v>
      </c>
      <c r="E2757" s="617" t="s">
        <v>4851</v>
      </c>
      <c r="F2757" s="617" t="s">
        <v>26</v>
      </c>
      <c r="G2757" s="624"/>
      <c r="O2757" s="616"/>
      <c r="P2757" s="616"/>
      <c r="Q2757" s="616"/>
      <c r="AA2757" s="624"/>
      <c r="AB2757" s="663">
        <v>39155930800</v>
      </c>
      <c r="AC2757" s="663" t="s">
        <v>7689</v>
      </c>
      <c r="AD2757" s="663" t="s">
        <v>4941</v>
      </c>
      <c r="AE2757" s="663" t="s">
        <v>4931</v>
      </c>
      <c r="AF2757" s="663" t="s">
        <v>4929</v>
      </c>
    </row>
    <row r="2758" spans="1:32" s="608" customFormat="1" x14ac:dyDescent="0.25">
      <c r="A2758" s="624"/>
      <c r="B2758" s="617">
        <v>39151712000</v>
      </c>
      <c r="C2758" s="617" t="s">
        <v>4426</v>
      </c>
      <c r="D2758" s="617" t="s">
        <v>99</v>
      </c>
      <c r="E2758" s="617" t="s">
        <v>4851</v>
      </c>
      <c r="F2758" s="617" t="s">
        <v>26</v>
      </c>
      <c r="G2758" s="624"/>
      <c r="O2758" s="616"/>
      <c r="P2758" s="616"/>
      <c r="Q2758" s="616"/>
      <c r="AA2758" s="624"/>
      <c r="AB2758" s="663">
        <v>39155930900</v>
      </c>
      <c r="AC2758" s="663" t="s">
        <v>7690</v>
      </c>
      <c r="AD2758" s="663" t="s">
        <v>4948</v>
      </c>
      <c r="AE2758" s="663" t="s">
        <v>4942</v>
      </c>
      <c r="AF2758" s="663" t="s">
        <v>4946</v>
      </c>
    </row>
    <row r="2759" spans="1:32" s="608" customFormat="1" x14ac:dyDescent="0.25">
      <c r="A2759" s="624"/>
      <c r="B2759" s="617">
        <v>39151712102</v>
      </c>
      <c r="C2759" s="617" t="s">
        <v>4427</v>
      </c>
      <c r="D2759" s="617" t="s">
        <v>99</v>
      </c>
      <c r="E2759" s="617" t="s">
        <v>4851</v>
      </c>
      <c r="F2759" s="617" t="s">
        <v>26</v>
      </c>
      <c r="G2759" s="624"/>
      <c r="O2759" s="616"/>
      <c r="P2759" s="616"/>
      <c r="Q2759" s="616"/>
      <c r="AA2759" s="624"/>
      <c r="AB2759" s="663">
        <v>39155931000</v>
      </c>
      <c r="AC2759" s="663" t="s">
        <v>7691</v>
      </c>
      <c r="AD2759" s="663" t="s">
        <v>4938</v>
      </c>
      <c r="AE2759" s="663" t="s">
        <v>4942</v>
      </c>
      <c r="AF2759" s="663" t="s">
        <v>4929</v>
      </c>
    </row>
    <row r="2760" spans="1:32" s="608" customFormat="1" x14ac:dyDescent="0.25">
      <c r="A2760" s="624"/>
      <c r="B2760" s="617">
        <v>39151712112</v>
      </c>
      <c r="C2760" s="617" t="s">
        <v>4428</v>
      </c>
      <c r="D2760" s="617" t="s">
        <v>99</v>
      </c>
      <c r="E2760" s="617" t="s">
        <v>4851</v>
      </c>
      <c r="F2760" s="617" t="s">
        <v>26</v>
      </c>
      <c r="G2760" s="624"/>
      <c r="O2760" s="616"/>
      <c r="P2760" s="616"/>
      <c r="Q2760" s="616"/>
      <c r="AA2760" s="624"/>
      <c r="AB2760" s="663">
        <v>39155931100</v>
      </c>
      <c r="AC2760" s="663" t="s">
        <v>7692</v>
      </c>
      <c r="AD2760" s="663" t="s">
        <v>4948</v>
      </c>
      <c r="AE2760" s="663" t="s">
        <v>4928</v>
      </c>
      <c r="AF2760" s="663" t="s">
        <v>4929</v>
      </c>
    </row>
    <row r="2761" spans="1:32" s="608" customFormat="1" x14ac:dyDescent="0.25">
      <c r="A2761" s="624"/>
      <c r="B2761" s="617">
        <v>39151712113</v>
      </c>
      <c r="C2761" s="617" t="s">
        <v>4429</v>
      </c>
      <c r="D2761" s="617" t="s">
        <v>99</v>
      </c>
      <c r="E2761" s="617" t="s">
        <v>4851</v>
      </c>
      <c r="F2761" s="617" t="s">
        <v>26</v>
      </c>
      <c r="G2761" s="624"/>
      <c r="O2761" s="616"/>
      <c r="P2761" s="616"/>
      <c r="Q2761" s="616"/>
      <c r="AA2761" s="624"/>
      <c r="AB2761" s="663">
        <v>39155931200</v>
      </c>
      <c r="AC2761" s="663" t="s">
        <v>7693</v>
      </c>
      <c r="AD2761" s="663" t="s">
        <v>4941</v>
      </c>
      <c r="AE2761" s="663" t="s">
        <v>4942</v>
      </c>
      <c r="AF2761" s="663" t="s">
        <v>4929</v>
      </c>
    </row>
    <row r="2762" spans="1:32" s="608" customFormat="1" x14ac:dyDescent="0.25">
      <c r="A2762" s="624"/>
      <c r="B2762" s="617">
        <v>39151712114</v>
      </c>
      <c r="C2762" s="617" t="s">
        <v>4430</v>
      </c>
      <c r="D2762" s="617" t="s">
        <v>99</v>
      </c>
      <c r="E2762" s="617" t="s">
        <v>4851</v>
      </c>
      <c r="F2762" s="617" t="s">
        <v>26</v>
      </c>
      <c r="G2762" s="624"/>
      <c r="O2762" s="616"/>
      <c r="P2762" s="616"/>
      <c r="Q2762" s="616"/>
      <c r="AA2762" s="624"/>
      <c r="AB2762" s="663">
        <v>39155931300</v>
      </c>
      <c r="AC2762" s="663" t="s">
        <v>7694</v>
      </c>
      <c r="AD2762" s="663" t="s">
        <v>4948</v>
      </c>
      <c r="AE2762" s="663" t="s">
        <v>4942</v>
      </c>
      <c r="AF2762" s="663" t="s">
        <v>4929</v>
      </c>
    </row>
    <row r="2763" spans="1:32" s="608" customFormat="1" x14ac:dyDescent="0.25">
      <c r="A2763" s="624"/>
      <c r="B2763" s="617">
        <v>39151712201</v>
      </c>
      <c r="C2763" s="617" t="s">
        <v>4431</v>
      </c>
      <c r="D2763" s="617" t="s">
        <v>99</v>
      </c>
      <c r="E2763" s="617" t="s">
        <v>4851</v>
      </c>
      <c r="F2763" s="617" t="s">
        <v>26</v>
      </c>
      <c r="G2763" s="624"/>
      <c r="O2763" s="616"/>
      <c r="P2763" s="616"/>
      <c r="Q2763" s="616"/>
      <c r="AA2763" s="624"/>
      <c r="AB2763" s="663">
        <v>39155931400</v>
      </c>
      <c r="AC2763" s="663" t="s">
        <v>7695</v>
      </c>
      <c r="AD2763" s="663" t="s">
        <v>4950</v>
      </c>
      <c r="AE2763" s="663" t="s">
        <v>4931</v>
      </c>
      <c r="AF2763" s="663" t="s">
        <v>4946</v>
      </c>
    </row>
    <row r="2764" spans="1:32" s="608" customFormat="1" x14ac:dyDescent="0.25">
      <c r="A2764" s="624"/>
      <c r="B2764" s="617">
        <v>39151712202</v>
      </c>
      <c r="C2764" s="617" t="s">
        <v>4432</v>
      </c>
      <c r="D2764" s="617" t="s">
        <v>99</v>
      </c>
      <c r="E2764" s="617" t="s">
        <v>4851</v>
      </c>
      <c r="F2764" s="617" t="s">
        <v>26</v>
      </c>
      <c r="G2764" s="624"/>
      <c r="O2764" s="616"/>
      <c r="P2764" s="616"/>
      <c r="Q2764" s="616"/>
      <c r="AA2764" s="624"/>
      <c r="AB2764" s="663">
        <v>39155931500</v>
      </c>
      <c r="AC2764" s="663" t="s">
        <v>7696</v>
      </c>
      <c r="AD2764" s="663" t="s">
        <v>4941</v>
      </c>
      <c r="AE2764" s="663" t="s">
        <v>4934</v>
      </c>
      <c r="AF2764" s="663" t="s">
        <v>4929</v>
      </c>
    </row>
    <row r="2765" spans="1:32" s="608" customFormat="1" x14ac:dyDescent="0.25">
      <c r="A2765" s="624"/>
      <c r="B2765" s="617">
        <v>39151712300</v>
      </c>
      <c r="C2765" s="617" t="s">
        <v>4433</v>
      </c>
      <c r="D2765" s="617" t="s">
        <v>99</v>
      </c>
      <c r="E2765" s="617" t="s">
        <v>4851</v>
      </c>
      <c r="F2765" s="617" t="s">
        <v>26</v>
      </c>
      <c r="G2765" s="624"/>
      <c r="O2765" s="616"/>
      <c r="P2765" s="616"/>
      <c r="Q2765" s="616"/>
      <c r="AA2765" s="624"/>
      <c r="AB2765" s="663">
        <v>39155931601</v>
      </c>
      <c r="AC2765" s="663" t="s">
        <v>7697</v>
      </c>
      <c r="AD2765" s="663" t="s">
        <v>4950</v>
      </c>
      <c r="AE2765" s="663" t="s">
        <v>4934</v>
      </c>
      <c r="AF2765" s="663" t="s">
        <v>4946</v>
      </c>
    </row>
    <row r="2766" spans="1:32" s="608" customFormat="1" x14ac:dyDescent="0.25">
      <c r="A2766" s="624"/>
      <c r="B2766" s="617">
        <v>39151712400</v>
      </c>
      <c r="C2766" s="617" t="s">
        <v>4434</v>
      </c>
      <c r="D2766" s="617" t="s">
        <v>99</v>
      </c>
      <c r="E2766" s="617" t="s">
        <v>4851</v>
      </c>
      <c r="F2766" s="617" t="s">
        <v>26</v>
      </c>
      <c r="G2766" s="624"/>
      <c r="O2766" s="616"/>
      <c r="P2766" s="616"/>
      <c r="Q2766" s="616"/>
      <c r="AA2766" s="624"/>
      <c r="AB2766" s="663">
        <v>39155931602</v>
      </c>
      <c r="AC2766" s="663" t="s">
        <v>7698</v>
      </c>
      <c r="AD2766" s="663" t="s">
        <v>4948</v>
      </c>
      <c r="AE2766" s="663" t="s">
        <v>4942</v>
      </c>
      <c r="AF2766" s="663" t="s">
        <v>4946</v>
      </c>
    </row>
    <row r="2767" spans="1:32" s="608" customFormat="1" x14ac:dyDescent="0.25">
      <c r="A2767" s="624"/>
      <c r="B2767" s="617">
        <v>39151712500</v>
      </c>
      <c r="C2767" s="617" t="s">
        <v>4435</v>
      </c>
      <c r="D2767" s="617" t="s">
        <v>99</v>
      </c>
      <c r="E2767" s="617" t="s">
        <v>4851</v>
      </c>
      <c r="F2767" s="617" t="s">
        <v>26</v>
      </c>
      <c r="G2767" s="624"/>
      <c r="O2767" s="616"/>
      <c r="P2767" s="616"/>
      <c r="Q2767" s="616"/>
      <c r="AA2767" s="624"/>
      <c r="AB2767" s="663">
        <v>39155931700</v>
      </c>
      <c r="AC2767" s="663" t="s">
        <v>7699</v>
      </c>
      <c r="AD2767" s="663" t="s">
        <v>4950</v>
      </c>
      <c r="AE2767" s="663" t="s">
        <v>4928</v>
      </c>
      <c r="AF2767" s="663" t="s">
        <v>4946</v>
      </c>
    </row>
    <row r="2768" spans="1:32" s="608" customFormat="1" x14ac:dyDescent="0.25">
      <c r="A2768" s="624"/>
      <c r="B2768" s="617">
        <v>39151712601</v>
      </c>
      <c r="C2768" s="617" t="s">
        <v>4436</v>
      </c>
      <c r="D2768" s="617" t="s">
        <v>99</v>
      </c>
      <c r="E2768" s="617" t="s">
        <v>4851</v>
      </c>
      <c r="F2768" s="617" t="s">
        <v>26</v>
      </c>
      <c r="G2768" s="624"/>
      <c r="O2768" s="616"/>
      <c r="P2768" s="616"/>
      <c r="Q2768" s="616"/>
      <c r="AA2768" s="624"/>
      <c r="AB2768" s="663">
        <v>39155931900</v>
      </c>
      <c r="AC2768" s="663" t="s">
        <v>7700</v>
      </c>
      <c r="AD2768" s="663" t="s">
        <v>4950</v>
      </c>
      <c r="AE2768" s="663" t="s">
        <v>4928</v>
      </c>
      <c r="AF2768" s="663" t="s">
        <v>4946</v>
      </c>
    </row>
    <row r="2769" spans="1:32" s="608" customFormat="1" x14ac:dyDescent="0.25">
      <c r="A2769" s="624"/>
      <c r="B2769" s="617">
        <v>39151712602</v>
      </c>
      <c r="C2769" s="617" t="s">
        <v>4437</v>
      </c>
      <c r="D2769" s="617" t="s">
        <v>99</v>
      </c>
      <c r="E2769" s="617" t="s">
        <v>4851</v>
      </c>
      <c r="F2769" s="617" t="s">
        <v>26</v>
      </c>
      <c r="G2769" s="624"/>
      <c r="O2769" s="616"/>
      <c r="P2769" s="616"/>
      <c r="Q2769" s="616"/>
      <c r="AA2769" s="624"/>
      <c r="AB2769" s="663">
        <v>39155932000</v>
      </c>
      <c r="AC2769" s="663" t="s">
        <v>7701</v>
      </c>
      <c r="AD2769" s="663" t="s">
        <v>4948</v>
      </c>
      <c r="AE2769" s="663" t="s">
        <v>4928</v>
      </c>
      <c r="AF2769" s="663" t="s">
        <v>4929</v>
      </c>
    </row>
    <row r="2770" spans="1:32" s="608" customFormat="1" x14ac:dyDescent="0.25">
      <c r="A2770" s="624"/>
      <c r="B2770" s="617">
        <v>39151712700</v>
      </c>
      <c r="C2770" s="617" t="s">
        <v>4438</v>
      </c>
      <c r="D2770" s="617" t="s">
        <v>99</v>
      </c>
      <c r="E2770" s="617" t="s">
        <v>4851</v>
      </c>
      <c r="F2770" s="617" t="s">
        <v>26</v>
      </c>
      <c r="G2770" s="624"/>
      <c r="O2770" s="616"/>
      <c r="P2770" s="616"/>
      <c r="Q2770" s="616"/>
      <c r="AA2770" s="624"/>
      <c r="AB2770" s="663">
        <v>39155932200</v>
      </c>
      <c r="AC2770" s="663" t="s">
        <v>7702</v>
      </c>
      <c r="AD2770" s="663" t="s">
        <v>4948</v>
      </c>
      <c r="AE2770" s="663" t="s">
        <v>4934</v>
      </c>
      <c r="AF2770" s="663" t="s">
        <v>4946</v>
      </c>
    </row>
    <row r="2771" spans="1:32" s="608" customFormat="1" x14ac:dyDescent="0.25">
      <c r="A2771" s="624"/>
      <c r="B2771" s="617">
        <v>39151712800</v>
      </c>
      <c r="C2771" s="617" t="s">
        <v>4439</v>
      </c>
      <c r="D2771" s="617" t="s">
        <v>99</v>
      </c>
      <c r="E2771" s="617" t="s">
        <v>4851</v>
      </c>
      <c r="F2771" s="617" t="s">
        <v>26</v>
      </c>
      <c r="G2771" s="624"/>
      <c r="O2771" s="616"/>
      <c r="P2771" s="616"/>
      <c r="Q2771" s="616"/>
      <c r="AA2771" s="624"/>
      <c r="AB2771" s="663">
        <v>39155932300</v>
      </c>
      <c r="AC2771" s="663" t="s">
        <v>7703</v>
      </c>
      <c r="AD2771" s="663" t="s">
        <v>4948</v>
      </c>
      <c r="AE2771" s="663" t="s">
        <v>4928</v>
      </c>
      <c r="AF2771" s="663" t="s">
        <v>4946</v>
      </c>
    </row>
    <row r="2772" spans="1:32" s="608" customFormat="1" x14ac:dyDescent="0.25">
      <c r="A2772" s="624"/>
      <c r="B2772" s="617">
        <v>39151712900</v>
      </c>
      <c r="C2772" s="617" t="s">
        <v>4440</v>
      </c>
      <c r="D2772" s="617" t="s">
        <v>99</v>
      </c>
      <c r="E2772" s="617" t="s">
        <v>4851</v>
      </c>
      <c r="F2772" s="617" t="s">
        <v>26</v>
      </c>
      <c r="G2772" s="624"/>
      <c r="O2772" s="616"/>
      <c r="P2772" s="616"/>
      <c r="Q2772" s="616"/>
      <c r="AA2772" s="624"/>
      <c r="AB2772" s="663">
        <v>39155932500</v>
      </c>
      <c r="AC2772" s="663" t="s">
        <v>7704</v>
      </c>
      <c r="AD2772" s="663" t="s">
        <v>4948</v>
      </c>
      <c r="AE2772" s="663" t="s">
        <v>4934</v>
      </c>
      <c r="AF2772" s="663" t="s">
        <v>4946</v>
      </c>
    </row>
    <row r="2773" spans="1:32" s="608" customFormat="1" x14ac:dyDescent="0.25">
      <c r="A2773" s="624"/>
      <c r="B2773" s="617">
        <v>39151713000</v>
      </c>
      <c r="C2773" s="617" t="s">
        <v>4441</v>
      </c>
      <c r="D2773" s="617" t="s">
        <v>99</v>
      </c>
      <c r="E2773" s="617" t="s">
        <v>4851</v>
      </c>
      <c r="F2773" s="617" t="s">
        <v>26</v>
      </c>
      <c r="G2773" s="624"/>
      <c r="O2773" s="616"/>
      <c r="P2773" s="616"/>
      <c r="Q2773" s="616"/>
      <c r="AA2773" s="624"/>
      <c r="AB2773" s="663">
        <v>39155932600</v>
      </c>
      <c r="AC2773" s="663" t="s">
        <v>7705</v>
      </c>
      <c r="AD2773" s="663" t="s">
        <v>4950</v>
      </c>
      <c r="AE2773" s="663" t="s">
        <v>4928</v>
      </c>
      <c r="AF2773" s="663" t="s">
        <v>4946</v>
      </c>
    </row>
    <row r="2774" spans="1:32" s="608" customFormat="1" x14ac:dyDescent="0.25">
      <c r="A2774" s="624"/>
      <c r="B2774" s="617">
        <v>39151713100</v>
      </c>
      <c r="C2774" s="617" t="s">
        <v>4442</v>
      </c>
      <c r="D2774" s="617" t="s">
        <v>99</v>
      </c>
      <c r="E2774" s="617" t="s">
        <v>4851</v>
      </c>
      <c r="F2774" s="617" t="s">
        <v>26</v>
      </c>
      <c r="G2774" s="624"/>
      <c r="O2774" s="616"/>
      <c r="P2774" s="616"/>
      <c r="Q2774" s="616"/>
      <c r="AA2774" s="624"/>
      <c r="AB2774" s="663">
        <v>39155932701</v>
      </c>
      <c r="AC2774" s="663" t="s">
        <v>7706</v>
      </c>
      <c r="AD2774" s="663" t="s">
        <v>4950</v>
      </c>
      <c r="AE2774" s="663" t="s">
        <v>4931</v>
      </c>
      <c r="AF2774" s="663" t="s">
        <v>4946</v>
      </c>
    </row>
    <row r="2775" spans="1:32" s="608" customFormat="1" x14ac:dyDescent="0.25">
      <c r="A2775" s="624"/>
      <c r="B2775" s="617">
        <v>39151713201</v>
      </c>
      <c r="C2775" s="617" t="s">
        <v>4443</v>
      </c>
      <c r="D2775" s="617" t="s">
        <v>99</v>
      </c>
      <c r="E2775" s="617" t="s">
        <v>4851</v>
      </c>
      <c r="F2775" s="617" t="s">
        <v>26</v>
      </c>
      <c r="G2775" s="624"/>
      <c r="O2775" s="616"/>
      <c r="P2775" s="616"/>
      <c r="Q2775" s="616"/>
      <c r="AA2775" s="624"/>
      <c r="AB2775" s="663">
        <v>39155932702</v>
      </c>
      <c r="AC2775" s="663" t="s">
        <v>7707</v>
      </c>
      <c r="AD2775" s="663" t="s">
        <v>4950</v>
      </c>
      <c r="AE2775" s="663" t="s">
        <v>4934</v>
      </c>
      <c r="AF2775" s="663" t="s">
        <v>4946</v>
      </c>
    </row>
    <row r="2776" spans="1:32" s="608" customFormat="1" x14ac:dyDescent="0.25">
      <c r="A2776" s="624"/>
      <c r="B2776" s="617">
        <v>39151713202</v>
      </c>
      <c r="C2776" s="617" t="s">
        <v>4444</v>
      </c>
      <c r="D2776" s="617" t="s">
        <v>99</v>
      </c>
      <c r="E2776" s="617" t="s">
        <v>4851</v>
      </c>
      <c r="F2776" s="617" t="s">
        <v>26</v>
      </c>
      <c r="G2776" s="624"/>
      <c r="O2776" s="616"/>
      <c r="P2776" s="616"/>
      <c r="Q2776" s="616"/>
      <c r="AA2776" s="624"/>
      <c r="AB2776" s="663">
        <v>39155932801</v>
      </c>
      <c r="AC2776" s="663" t="s">
        <v>7708</v>
      </c>
      <c r="AD2776" s="663" t="s">
        <v>4950</v>
      </c>
      <c r="AE2776" s="663" t="s">
        <v>4931</v>
      </c>
      <c r="AF2776" s="663" t="s">
        <v>4946</v>
      </c>
    </row>
    <row r="2777" spans="1:32" s="608" customFormat="1" x14ac:dyDescent="0.25">
      <c r="A2777" s="624"/>
      <c r="B2777" s="617">
        <v>39151713300</v>
      </c>
      <c r="C2777" s="617" t="s">
        <v>4445</v>
      </c>
      <c r="D2777" s="617" t="s">
        <v>99</v>
      </c>
      <c r="E2777" s="617" t="s">
        <v>4851</v>
      </c>
      <c r="F2777" s="617" t="s">
        <v>26</v>
      </c>
      <c r="G2777" s="624"/>
      <c r="O2777" s="616"/>
      <c r="P2777" s="616"/>
      <c r="Q2777" s="616"/>
      <c r="AA2777" s="624"/>
      <c r="AB2777" s="663">
        <v>39155932802</v>
      </c>
      <c r="AC2777" s="663" t="s">
        <v>7709</v>
      </c>
      <c r="AD2777" s="663" t="s">
        <v>4927</v>
      </c>
      <c r="AE2777" s="663" t="s">
        <v>4928</v>
      </c>
      <c r="AF2777" s="663" t="s">
        <v>4946</v>
      </c>
    </row>
    <row r="2778" spans="1:32" s="608" customFormat="1" x14ac:dyDescent="0.25">
      <c r="A2778" s="624"/>
      <c r="B2778" s="617">
        <v>39151713401</v>
      </c>
      <c r="C2778" s="617" t="s">
        <v>4446</v>
      </c>
      <c r="D2778" s="617" t="s">
        <v>99</v>
      </c>
      <c r="E2778" s="617" t="s">
        <v>4851</v>
      </c>
      <c r="F2778" s="617" t="s">
        <v>26</v>
      </c>
      <c r="G2778" s="624"/>
      <c r="O2778" s="616"/>
      <c r="P2778" s="616"/>
      <c r="Q2778" s="616"/>
      <c r="AA2778" s="624"/>
      <c r="AB2778" s="663">
        <v>39155932900</v>
      </c>
      <c r="AC2778" s="663" t="s">
        <v>7710</v>
      </c>
      <c r="AD2778" s="663" t="s">
        <v>4938</v>
      </c>
      <c r="AE2778" s="663" t="s">
        <v>4928</v>
      </c>
      <c r="AF2778" s="663" t="s">
        <v>4946</v>
      </c>
    </row>
    <row r="2779" spans="1:32" s="608" customFormat="1" x14ac:dyDescent="0.25">
      <c r="A2779" s="624"/>
      <c r="B2779" s="617">
        <v>39151713402</v>
      </c>
      <c r="C2779" s="617" t="s">
        <v>4447</v>
      </c>
      <c r="D2779" s="617" t="s">
        <v>99</v>
      </c>
      <c r="E2779" s="617" t="s">
        <v>4851</v>
      </c>
      <c r="F2779" s="617" t="s">
        <v>26</v>
      </c>
      <c r="G2779" s="624"/>
      <c r="O2779" s="616"/>
      <c r="P2779" s="616"/>
      <c r="Q2779" s="616"/>
      <c r="AA2779" s="624"/>
      <c r="AB2779" s="663">
        <v>39155933001</v>
      </c>
      <c r="AC2779" s="663" t="s">
        <v>7711</v>
      </c>
      <c r="AD2779" s="663" t="s">
        <v>4941</v>
      </c>
      <c r="AE2779" s="663" t="s">
        <v>4928</v>
      </c>
      <c r="AF2779" s="663" t="s">
        <v>4946</v>
      </c>
    </row>
    <row r="2780" spans="1:32" s="608" customFormat="1" x14ac:dyDescent="0.25">
      <c r="A2780" s="624"/>
      <c r="B2780" s="617">
        <v>39151713501</v>
      </c>
      <c r="C2780" s="617" t="s">
        <v>4448</v>
      </c>
      <c r="D2780" s="617" t="s">
        <v>99</v>
      </c>
      <c r="E2780" s="617" t="s">
        <v>4851</v>
      </c>
      <c r="F2780" s="617" t="s">
        <v>26</v>
      </c>
      <c r="G2780" s="624"/>
      <c r="O2780" s="616"/>
      <c r="P2780" s="616"/>
      <c r="Q2780" s="616"/>
      <c r="AA2780" s="624"/>
      <c r="AB2780" s="663">
        <v>39155933002</v>
      </c>
      <c r="AC2780" s="663" t="s">
        <v>7712</v>
      </c>
      <c r="AD2780" s="663" t="s">
        <v>4941</v>
      </c>
      <c r="AE2780" s="663" t="s">
        <v>4942</v>
      </c>
      <c r="AF2780" s="663" t="s">
        <v>4946</v>
      </c>
    </row>
    <row r="2781" spans="1:32" s="608" customFormat="1" x14ac:dyDescent="0.25">
      <c r="A2781" s="624"/>
      <c r="B2781" s="617">
        <v>39151713502</v>
      </c>
      <c r="C2781" s="617" t="s">
        <v>4449</v>
      </c>
      <c r="D2781" s="617" t="s">
        <v>99</v>
      </c>
      <c r="E2781" s="617" t="s">
        <v>4851</v>
      </c>
      <c r="F2781" s="617" t="s">
        <v>26</v>
      </c>
      <c r="G2781" s="624"/>
      <c r="O2781" s="616"/>
      <c r="P2781" s="616"/>
      <c r="Q2781" s="616"/>
      <c r="AA2781" s="624"/>
      <c r="AB2781" s="663">
        <v>39155933100</v>
      </c>
      <c r="AC2781" s="663" t="s">
        <v>7713</v>
      </c>
      <c r="AD2781" s="663" t="s">
        <v>4927</v>
      </c>
      <c r="AE2781" s="663" t="s">
        <v>4928</v>
      </c>
      <c r="AF2781" s="663" t="s">
        <v>4946</v>
      </c>
    </row>
    <row r="2782" spans="1:32" s="608" customFormat="1" x14ac:dyDescent="0.25">
      <c r="A2782" s="624"/>
      <c r="B2782" s="617">
        <v>39151713600</v>
      </c>
      <c r="C2782" s="617" t="s">
        <v>4450</v>
      </c>
      <c r="D2782" s="617" t="s">
        <v>99</v>
      </c>
      <c r="E2782" s="617" t="s">
        <v>4851</v>
      </c>
      <c r="F2782" s="617" t="s">
        <v>26</v>
      </c>
      <c r="G2782" s="624"/>
      <c r="O2782" s="616"/>
      <c r="P2782" s="616"/>
      <c r="Q2782" s="616"/>
      <c r="AA2782" s="624"/>
      <c r="AB2782" s="663">
        <v>39155933301</v>
      </c>
      <c r="AC2782" s="663" t="s">
        <v>7714</v>
      </c>
      <c r="AD2782" s="663" t="s">
        <v>4950</v>
      </c>
      <c r="AE2782" s="663" t="s">
        <v>4934</v>
      </c>
      <c r="AF2782" s="663" t="s">
        <v>4929</v>
      </c>
    </row>
    <row r="2783" spans="1:32" s="608" customFormat="1" x14ac:dyDescent="0.25">
      <c r="A2783" s="624"/>
      <c r="B2783" s="617">
        <v>39151713700</v>
      </c>
      <c r="C2783" s="617" t="s">
        <v>4451</v>
      </c>
      <c r="D2783" s="617" t="s">
        <v>99</v>
      </c>
      <c r="E2783" s="617" t="s">
        <v>4851</v>
      </c>
      <c r="F2783" s="617" t="s">
        <v>26</v>
      </c>
      <c r="G2783" s="624"/>
      <c r="O2783" s="616"/>
      <c r="P2783" s="616"/>
      <c r="Q2783" s="616"/>
      <c r="AA2783" s="624"/>
      <c r="AB2783" s="663">
        <v>39155933302</v>
      </c>
      <c r="AC2783" s="663" t="s">
        <v>7715</v>
      </c>
      <c r="AD2783" s="663" t="s">
        <v>4948</v>
      </c>
      <c r="AE2783" s="663" t="s">
        <v>4934</v>
      </c>
      <c r="AF2783" s="663" t="s">
        <v>4946</v>
      </c>
    </row>
    <row r="2784" spans="1:32" s="608" customFormat="1" x14ac:dyDescent="0.25">
      <c r="A2784" s="624"/>
      <c r="B2784" s="617">
        <v>39151713900</v>
      </c>
      <c r="C2784" s="617" t="s">
        <v>4452</v>
      </c>
      <c r="D2784" s="617" t="s">
        <v>99</v>
      </c>
      <c r="E2784" s="617" t="s">
        <v>4851</v>
      </c>
      <c r="F2784" s="617" t="s">
        <v>24</v>
      </c>
      <c r="G2784" s="624"/>
      <c r="O2784" s="616"/>
      <c r="P2784" s="616"/>
      <c r="Q2784" s="616"/>
      <c r="AA2784" s="624"/>
      <c r="AB2784" s="663">
        <v>39155933400</v>
      </c>
      <c r="AC2784" s="663" t="s">
        <v>7716</v>
      </c>
      <c r="AD2784" s="663" t="s">
        <v>4950</v>
      </c>
      <c r="AE2784" s="663" t="s">
        <v>4931</v>
      </c>
      <c r="AF2784" s="663" t="s">
        <v>4946</v>
      </c>
    </row>
    <row r="2785" spans="1:32" s="608" customFormat="1" x14ac:dyDescent="0.25">
      <c r="A2785" s="624"/>
      <c r="B2785" s="617">
        <v>39151714000</v>
      </c>
      <c r="C2785" s="617" t="s">
        <v>4453</v>
      </c>
      <c r="D2785" s="617" t="s">
        <v>99</v>
      </c>
      <c r="E2785" s="617" t="s">
        <v>4851</v>
      </c>
      <c r="F2785" s="617" t="s">
        <v>26</v>
      </c>
      <c r="G2785" s="624"/>
      <c r="O2785" s="616"/>
      <c r="P2785" s="616"/>
      <c r="Q2785" s="616"/>
      <c r="AA2785" s="624"/>
      <c r="AB2785" s="663">
        <v>39155933500</v>
      </c>
      <c r="AC2785" s="663" t="s">
        <v>7717</v>
      </c>
      <c r="AD2785" s="663" t="s">
        <v>4950</v>
      </c>
      <c r="AE2785" s="663" t="s">
        <v>4931</v>
      </c>
      <c r="AF2785" s="663" t="s">
        <v>4929</v>
      </c>
    </row>
    <row r="2786" spans="1:32" s="608" customFormat="1" x14ac:dyDescent="0.25">
      <c r="A2786" s="624"/>
      <c r="B2786" s="617">
        <v>39151714100</v>
      </c>
      <c r="C2786" s="617" t="s">
        <v>4454</v>
      </c>
      <c r="D2786" s="617" t="s">
        <v>99</v>
      </c>
      <c r="E2786" s="617" t="s">
        <v>4851</v>
      </c>
      <c r="F2786" s="617" t="s">
        <v>26</v>
      </c>
      <c r="G2786" s="624"/>
      <c r="O2786" s="616"/>
      <c r="P2786" s="616"/>
      <c r="Q2786" s="616"/>
      <c r="AA2786" s="624"/>
      <c r="AB2786" s="663">
        <v>39155933600</v>
      </c>
      <c r="AC2786" s="663" t="s">
        <v>7718</v>
      </c>
      <c r="AD2786" s="663" t="s">
        <v>4927</v>
      </c>
      <c r="AE2786" s="663" t="s">
        <v>4928</v>
      </c>
      <c r="AF2786" s="663" t="s">
        <v>4946</v>
      </c>
    </row>
    <row r="2787" spans="1:32" s="608" customFormat="1" x14ac:dyDescent="0.25">
      <c r="A2787" s="624"/>
      <c r="B2787" s="617">
        <v>39151714200</v>
      </c>
      <c r="C2787" s="617" t="s">
        <v>4455</v>
      </c>
      <c r="D2787" s="617" t="s">
        <v>99</v>
      </c>
      <c r="E2787" s="617" t="s">
        <v>4851</v>
      </c>
      <c r="F2787" s="617" t="s">
        <v>24</v>
      </c>
      <c r="G2787" s="624"/>
      <c r="O2787" s="616"/>
      <c r="P2787" s="616"/>
      <c r="Q2787" s="616"/>
      <c r="AA2787" s="624"/>
      <c r="AB2787" s="663">
        <v>39155933700</v>
      </c>
      <c r="AC2787" s="663" t="s">
        <v>7719</v>
      </c>
      <c r="AD2787" s="663" t="s">
        <v>4948</v>
      </c>
      <c r="AE2787" s="663" t="s">
        <v>4939</v>
      </c>
      <c r="AF2787" s="663" t="s">
        <v>4929</v>
      </c>
    </row>
    <row r="2788" spans="1:32" s="608" customFormat="1" x14ac:dyDescent="0.25">
      <c r="A2788" s="624"/>
      <c r="B2788" s="617">
        <v>39151714302</v>
      </c>
      <c r="C2788" s="617" t="s">
        <v>4456</v>
      </c>
      <c r="D2788" s="617" t="s">
        <v>99</v>
      </c>
      <c r="E2788" s="617" t="s">
        <v>4851</v>
      </c>
      <c r="F2788" s="617" t="s">
        <v>26</v>
      </c>
      <c r="G2788" s="624"/>
      <c r="O2788" s="616"/>
      <c r="P2788" s="616"/>
      <c r="Q2788" s="616"/>
      <c r="AA2788" s="624"/>
      <c r="AB2788" s="663">
        <v>39155933800</v>
      </c>
      <c r="AC2788" s="663" t="s">
        <v>7720</v>
      </c>
      <c r="AD2788" s="663" t="s">
        <v>4948</v>
      </c>
      <c r="AE2788" s="663" t="s">
        <v>4934</v>
      </c>
      <c r="AF2788" s="663" t="s">
        <v>4962</v>
      </c>
    </row>
    <row r="2789" spans="1:32" s="608" customFormat="1" x14ac:dyDescent="0.25">
      <c r="A2789" s="624"/>
      <c r="B2789" s="617">
        <v>39151714400</v>
      </c>
      <c r="C2789" s="617" t="s">
        <v>4457</v>
      </c>
      <c r="D2789" s="617" t="s">
        <v>99</v>
      </c>
      <c r="E2789" s="617" t="s">
        <v>4851</v>
      </c>
      <c r="F2789" s="617" t="s">
        <v>26</v>
      </c>
      <c r="G2789" s="624"/>
      <c r="O2789" s="616"/>
      <c r="P2789" s="616"/>
      <c r="Q2789" s="616"/>
      <c r="AA2789" s="624"/>
      <c r="AB2789" s="663">
        <v>39155933900</v>
      </c>
      <c r="AC2789" s="663" t="s">
        <v>7721</v>
      </c>
      <c r="AD2789" s="663" t="s">
        <v>4927</v>
      </c>
      <c r="AE2789" s="663" t="s">
        <v>4928</v>
      </c>
      <c r="AF2789" s="663" t="s">
        <v>4946</v>
      </c>
    </row>
    <row r="2790" spans="1:32" s="608" customFormat="1" x14ac:dyDescent="0.25">
      <c r="A2790" s="624"/>
      <c r="B2790" s="617">
        <v>39151714600</v>
      </c>
      <c r="C2790" s="617" t="s">
        <v>4458</v>
      </c>
      <c r="D2790" s="617" t="s">
        <v>99</v>
      </c>
      <c r="E2790" s="617" t="s">
        <v>4851</v>
      </c>
      <c r="F2790" s="617" t="s">
        <v>26</v>
      </c>
      <c r="G2790" s="624"/>
      <c r="O2790" s="616"/>
      <c r="P2790" s="616"/>
      <c r="Q2790" s="616"/>
      <c r="AA2790" s="624"/>
      <c r="AB2790" s="663">
        <v>39157020100</v>
      </c>
      <c r="AC2790" s="663" t="s">
        <v>7722</v>
      </c>
      <c r="AD2790" s="663" t="s">
        <v>4948</v>
      </c>
      <c r="AE2790" s="663" t="s">
        <v>4942</v>
      </c>
      <c r="AF2790" s="663" t="s">
        <v>4929</v>
      </c>
    </row>
    <row r="2791" spans="1:32" s="608" customFormat="1" x14ac:dyDescent="0.25">
      <c r="A2791" s="624"/>
      <c r="B2791" s="617">
        <v>39151714701</v>
      </c>
      <c r="C2791" s="617" t="s">
        <v>4459</v>
      </c>
      <c r="D2791" s="617" t="s">
        <v>99</v>
      </c>
      <c r="E2791" s="617" t="s">
        <v>4851</v>
      </c>
      <c r="F2791" s="617" t="s">
        <v>26</v>
      </c>
      <c r="G2791" s="624"/>
      <c r="O2791" s="616"/>
      <c r="P2791" s="616"/>
      <c r="Q2791" s="616"/>
      <c r="AA2791" s="624"/>
      <c r="AB2791" s="663">
        <v>39157020200</v>
      </c>
      <c r="AC2791" s="663" t="s">
        <v>7723</v>
      </c>
      <c r="AD2791" s="663" t="s">
        <v>4938</v>
      </c>
      <c r="AE2791" s="663" t="s">
        <v>4939</v>
      </c>
      <c r="AF2791" s="663" t="s">
        <v>4929</v>
      </c>
    </row>
    <row r="2792" spans="1:32" s="608" customFormat="1" x14ac:dyDescent="0.25">
      <c r="A2792" s="624"/>
      <c r="B2792" s="617">
        <v>39151714702</v>
      </c>
      <c r="C2792" s="617" t="s">
        <v>4460</v>
      </c>
      <c r="D2792" s="617" t="s">
        <v>99</v>
      </c>
      <c r="E2792" s="617" t="s">
        <v>4851</v>
      </c>
      <c r="F2792" s="617" t="s">
        <v>26</v>
      </c>
      <c r="G2792" s="624"/>
      <c r="O2792" s="616"/>
      <c r="P2792" s="616"/>
      <c r="Q2792" s="616"/>
      <c r="AA2792" s="624"/>
      <c r="AB2792" s="663">
        <v>39157020300</v>
      </c>
      <c r="AC2792" s="663" t="s">
        <v>7724</v>
      </c>
      <c r="AD2792" s="663" t="s">
        <v>4948</v>
      </c>
      <c r="AE2792" s="663" t="s">
        <v>4942</v>
      </c>
      <c r="AF2792" s="663" t="s">
        <v>4929</v>
      </c>
    </row>
    <row r="2793" spans="1:32" s="608" customFormat="1" x14ac:dyDescent="0.25">
      <c r="A2793" s="624"/>
      <c r="B2793" s="617">
        <v>39151714801</v>
      </c>
      <c r="C2793" s="617" t="s">
        <v>4461</v>
      </c>
      <c r="D2793" s="617" t="s">
        <v>99</v>
      </c>
      <c r="E2793" s="617" t="s">
        <v>4851</v>
      </c>
      <c r="F2793" s="617" t="s">
        <v>26</v>
      </c>
      <c r="G2793" s="624"/>
      <c r="O2793" s="616"/>
      <c r="P2793" s="616"/>
      <c r="Q2793" s="616"/>
      <c r="AA2793" s="624"/>
      <c r="AB2793" s="663">
        <v>39157020400</v>
      </c>
      <c r="AC2793" s="663" t="s">
        <v>7725</v>
      </c>
      <c r="AD2793" s="663" t="s">
        <v>4948</v>
      </c>
      <c r="AE2793" s="663" t="s">
        <v>4931</v>
      </c>
      <c r="AF2793" s="663" t="s">
        <v>4929</v>
      </c>
    </row>
    <row r="2794" spans="1:32" s="608" customFormat="1" x14ac:dyDescent="0.25">
      <c r="A2794" s="624"/>
      <c r="B2794" s="617">
        <v>39151714802</v>
      </c>
      <c r="C2794" s="617" t="s">
        <v>4462</v>
      </c>
      <c r="D2794" s="617" t="s">
        <v>99</v>
      </c>
      <c r="E2794" s="617" t="s">
        <v>4851</v>
      </c>
      <c r="F2794" s="617" t="s">
        <v>26</v>
      </c>
      <c r="G2794" s="624"/>
      <c r="O2794" s="616"/>
      <c r="P2794" s="616"/>
      <c r="Q2794" s="616"/>
      <c r="AA2794" s="624"/>
      <c r="AB2794" s="663">
        <v>39157020500</v>
      </c>
      <c r="AC2794" s="663" t="s">
        <v>7726</v>
      </c>
      <c r="AD2794" s="663" t="s">
        <v>4941</v>
      </c>
      <c r="AE2794" s="663" t="s">
        <v>4939</v>
      </c>
      <c r="AF2794" s="663" t="s">
        <v>4929</v>
      </c>
    </row>
    <row r="2795" spans="1:32" s="608" customFormat="1" x14ac:dyDescent="0.25">
      <c r="A2795" s="624"/>
      <c r="B2795" s="617">
        <v>39151714901</v>
      </c>
      <c r="C2795" s="617" t="s">
        <v>4463</v>
      </c>
      <c r="D2795" s="617" t="s">
        <v>99</v>
      </c>
      <c r="E2795" s="617" t="s">
        <v>4851</v>
      </c>
      <c r="F2795" s="617" t="s">
        <v>26</v>
      </c>
      <c r="G2795" s="624"/>
      <c r="O2795" s="616"/>
      <c r="P2795" s="616"/>
      <c r="Q2795" s="616"/>
      <c r="AA2795" s="624"/>
      <c r="AB2795" s="663">
        <v>39157020600</v>
      </c>
      <c r="AC2795" s="663" t="s">
        <v>7727</v>
      </c>
      <c r="AD2795" s="663" t="s">
        <v>4938</v>
      </c>
      <c r="AE2795" s="663" t="s">
        <v>4931</v>
      </c>
      <c r="AF2795" s="663" t="s">
        <v>4929</v>
      </c>
    </row>
    <row r="2796" spans="1:32" s="608" customFormat="1" x14ac:dyDescent="0.25">
      <c r="A2796" s="624"/>
      <c r="B2796" s="617">
        <v>39151714902</v>
      </c>
      <c r="C2796" s="617" t="s">
        <v>4464</v>
      </c>
      <c r="D2796" s="617" t="s">
        <v>99</v>
      </c>
      <c r="E2796" s="617" t="s">
        <v>4851</v>
      </c>
      <c r="F2796" s="617" t="s">
        <v>26</v>
      </c>
      <c r="G2796" s="624"/>
      <c r="O2796" s="616"/>
      <c r="P2796" s="616"/>
      <c r="Q2796" s="616"/>
      <c r="AA2796" s="624"/>
      <c r="AB2796" s="663">
        <v>39157020700</v>
      </c>
      <c r="AC2796" s="663" t="s">
        <v>7728</v>
      </c>
      <c r="AD2796" s="663" t="s">
        <v>4941</v>
      </c>
      <c r="AE2796" s="663" t="s">
        <v>4939</v>
      </c>
      <c r="AF2796" s="663" t="s">
        <v>4929</v>
      </c>
    </row>
    <row r="2797" spans="1:32" s="608" customFormat="1" x14ac:dyDescent="0.25">
      <c r="A2797" s="624"/>
      <c r="B2797" s="617">
        <v>39151715000</v>
      </c>
      <c r="C2797" s="617" t="s">
        <v>4465</v>
      </c>
      <c r="D2797" s="617" t="s">
        <v>99</v>
      </c>
      <c r="E2797" s="617" t="s">
        <v>4851</v>
      </c>
      <c r="F2797" s="617" t="s">
        <v>24</v>
      </c>
      <c r="G2797" s="624"/>
      <c r="O2797" s="616"/>
      <c r="P2797" s="616"/>
      <c r="Q2797" s="616"/>
      <c r="AA2797" s="624"/>
      <c r="AB2797" s="663">
        <v>39157020800</v>
      </c>
      <c r="AC2797" s="663" t="s">
        <v>7729</v>
      </c>
      <c r="AD2797" s="663" t="s">
        <v>4927</v>
      </c>
      <c r="AE2797" s="663" t="s">
        <v>4928</v>
      </c>
      <c r="AF2797" s="663" t="s">
        <v>4983</v>
      </c>
    </row>
    <row r="2798" spans="1:32" s="608" customFormat="1" x14ac:dyDescent="0.25">
      <c r="A2798" s="624"/>
      <c r="B2798" s="617">
        <v>39153501100</v>
      </c>
      <c r="C2798" s="617" t="s">
        <v>4466</v>
      </c>
      <c r="D2798" s="617" t="s">
        <v>100</v>
      </c>
      <c r="E2798" s="617" t="s">
        <v>4860</v>
      </c>
      <c r="F2798" s="617" t="s">
        <v>24</v>
      </c>
      <c r="G2798" s="624"/>
      <c r="O2798" s="616"/>
      <c r="P2798" s="616"/>
      <c r="Q2798" s="616"/>
      <c r="AA2798" s="624"/>
      <c r="AB2798" s="663">
        <v>39157020900</v>
      </c>
      <c r="AC2798" s="663" t="s">
        <v>7730</v>
      </c>
      <c r="AD2798" s="663" t="s">
        <v>4941</v>
      </c>
      <c r="AE2798" s="663" t="s">
        <v>4939</v>
      </c>
      <c r="AF2798" s="663" t="s">
        <v>4929</v>
      </c>
    </row>
    <row r="2799" spans="1:32" s="608" customFormat="1" x14ac:dyDescent="0.25">
      <c r="A2799" s="624"/>
      <c r="B2799" s="617">
        <v>39153501700</v>
      </c>
      <c r="C2799" s="617" t="s">
        <v>4467</v>
      </c>
      <c r="D2799" s="617" t="s">
        <v>100</v>
      </c>
      <c r="E2799" s="617" t="s">
        <v>4860</v>
      </c>
      <c r="F2799" s="617" t="s">
        <v>24</v>
      </c>
      <c r="G2799" s="624"/>
      <c r="O2799" s="616"/>
      <c r="P2799" s="616"/>
      <c r="Q2799" s="616"/>
      <c r="AA2799" s="624"/>
      <c r="AB2799" s="663">
        <v>39157021000</v>
      </c>
      <c r="AC2799" s="663" t="s">
        <v>7731</v>
      </c>
      <c r="AD2799" s="663" t="s">
        <v>4948</v>
      </c>
      <c r="AE2799" s="663" t="s">
        <v>4942</v>
      </c>
      <c r="AF2799" s="663" t="s">
        <v>4929</v>
      </c>
    </row>
    <row r="2800" spans="1:32" s="608" customFormat="1" x14ac:dyDescent="0.25">
      <c r="A2800" s="624"/>
      <c r="B2800" s="617">
        <v>39153501800</v>
      </c>
      <c r="C2800" s="617" t="s">
        <v>4468</v>
      </c>
      <c r="D2800" s="617" t="s">
        <v>100</v>
      </c>
      <c r="E2800" s="617" t="s">
        <v>4860</v>
      </c>
      <c r="F2800" s="617" t="s">
        <v>24</v>
      </c>
      <c r="G2800" s="624"/>
      <c r="O2800" s="616"/>
      <c r="P2800" s="616"/>
      <c r="Q2800" s="616"/>
      <c r="AA2800" s="624"/>
      <c r="AB2800" s="663">
        <v>39157021100</v>
      </c>
      <c r="AC2800" s="663" t="s">
        <v>7732</v>
      </c>
      <c r="AD2800" s="663" t="s">
        <v>4938</v>
      </c>
      <c r="AE2800" s="663" t="s">
        <v>4931</v>
      </c>
      <c r="AF2800" s="663" t="s">
        <v>4983</v>
      </c>
    </row>
    <row r="2801" spans="1:32" s="608" customFormat="1" x14ac:dyDescent="0.25">
      <c r="A2801" s="624"/>
      <c r="B2801" s="617">
        <v>39153501900</v>
      </c>
      <c r="C2801" s="617" t="s">
        <v>4469</v>
      </c>
      <c r="D2801" s="617" t="s">
        <v>100</v>
      </c>
      <c r="E2801" s="617" t="s">
        <v>4860</v>
      </c>
      <c r="F2801" s="617" t="s">
        <v>24</v>
      </c>
      <c r="G2801" s="624"/>
      <c r="O2801" s="616"/>
      <c r="P2801" s="616"/>
      <c r="Q2801" s="616"/>
      <c r="AA2801" s="624"/>
      <c r="AB2801" s="663">
        <v>39157021200</v>
      </c>
      <c r="AC2801" s="663" t="s">
        <v>7733</v>
      </c>
      <c r="AD2801" s="663" t="s">
        <v>4950</v>
      </c>
      <c r="AE2801" s="663" t="s">
        <v>4942</v>
      </c>
      <c r="AF2801" s="663" t="s">
        <v>4929</v>
      </c>
    </row>
    <row r="2802" spans="1:32" s="608" customFormat="1" x14ac:dyDescent="0.25">
      <c r="A2802" s="624"/>
      <c r="B2802" s="617">
        <v>39153502101</v>
      </c>
      <c r="C2802" s="617" t="s">
        <v>4470</v>
      </c>
      <c r="D2802" s="617" t="s">
        <v>100</v>
      </c>
      <c r="E2802" s="617" t="s">
        <v>4860</v>
      </c>
      <c r="F2802" s="617" t="s">
        <v>24</v>
      </c>
      <c r="G2802" s="624"/>
      <c r="O2802" s="616"/>
      <c r="P2802" s="616"/>
      <c r="Q2802" s="616"/>
      <c r="AA2802" s="624"/>
      <c r="AB2802" s="663">
        <v>39157021300</v>
      </c>
      <c r="AC2802" s="663" t="s">
        <v>7734</v>
      </c>
      <c r="AD2802" s="663" t="s">
        <v>4941</v>
      </c>
      <c r="AE2802" s="663" t="s">
        <v>4931</v>
      </c>
      <c r="AF2802" s="663" t="s">
        <v>4929</v>
      </c>
    </row>
    <row r="2803" spans="1:32" s="608" customFormat="1" x14ac:dyDescent="0.25">
      <c r="A2803" s="624"/>
      <c r="B2803" s="617">
        <v>39153502102</v>
      </c>
      <c r="C2803" s="617" t="s">
        <v>4471</v>
      </c>
      <c r="D2803" s="617" t="s">
        <v>100</v>
      </c>
      <c r="E2803" s="617" t="s">
        <v>4860</v>
      </c>
      <c r="F2803" s="617" t="s">
        <v>24</v>
      </c>
      <c r="G2803" s="624"/>
      <c r="O2803" s="616"/>
      <c r="P2803" s="616"/>
      <c r="Q2803" s="616"/>
      <c r="AA2803" s="624"/>
      <c r="AB2803" s="663">
        <v>39157021400</v>
      </c>
      <c r="AC2803" s="663" t="s">
        <v>7735</v>
      </c>
      <c r="AD2803" s="663" t="s">
        <v>4948</v>
      </c>
      <c r="AE2803" s="663" t="s">
        <v>4931</v>
      </c>
      <c r="AF2803" s="663" t="s">
        <v>4929</v>
      </c>
    </row>
    <row r="2804" spans="1:32" s="608" customFormat="1" x14ac:dyDescent="0.25">
      <c r="A2804" s="624"/>
      <c r="B2804" s="617">
        <v>39153502200</v>
      </c>
      <c r="C2804" s="617" t="s">
        <v>4472</v>
      </c>
      <c r="D2804" s="617" t="s">
        <v>100</v>
      </c>
      <c r="E2804" s="617" t="s">
        <v>4860</v>
      </c>
      <c r="F2804" s="617" t="s">
        <v>24</v>
      </c>
      <c r="G2804" s="624"/>
      <c r="O2804" s="616"/>
      <c r="P2804" s="616"/>
      <c r="Q2804" s="616"/>
      <c r="AA2804" s="624"/>
      <c r="AB2804" s="663">
        <v>39157021500</v>
      </c>
      <c r="AC2804" s="663" t="s">
        <v>7736</v>
      </c>
      <c r="AD2804" s="663" t="s">
        <v>4938</v>
      </c>
      <c r="AE2804" s="663" t="s">
        <v>4942</v>
      </c>
      <c r="AF2804" s="663" t="s">
        <v>4929</v>
      </c>
    </row>
    <row r="2805" spans="1:32" s="608" customFormat="1" x14ac:dyDescent="0.25">
      <c r="A2805" s="624"/>
      <c r="B2805" s="617">
        <v>39153502300</v>
      </c>
      <c r="C2805" s="617" t="s">
        <v>4473</v>
      </c>
      <c r="D2805" s="617" t="s">
        <v>100</v>
      </c>
      <c r="E2805" s="617" t="s">
        <v>4860</v>
      </c>
      <c r="F2805" s="617" t="s">
        <v>24</v>
      </c>
      <c r="G2805" s="624"/>
      <c r="O2805" s="616"/>
      <c r="P2805" s="616"/>
      <c r="Q2805" s="616"/>
      <c r="AA2805" s="624"/>
      <c r="AB2805" s="663">
        <v>39157021600</v>
      </c>
      <c r="AC2805" s="663" t="s">
        <v>7737</v>
      </c>
      <c r="AD2805" s="663" t="s">
        <v>4950</v>
      </c>
      <c r="AE2805" s="663" t="s">
        <v>4934</v>
      </c>
      <c r="AF2805" s="663" t="s">
        <v>4929</v>
      </c>
    </row>
    <row r="2806" spans="1:32" s="608" customFormat="1" x14ac:dyDescent="0.25">
      <c r="A2806" s="624"/>
      <c r="B2806" s="617">
        <v>39153502500</v>
      </c>
      <c r="C2806" s="617" t="s">
        <v>4474</v>
      </c>
      <c r="D2806" s="617" t="s">
        <v>100</v>
      </c>
      <c r="E2806" s="617" t="s">
        <v>4860</v>
      </c>
      <c r="F2806" s="617" t="s">
        <v>24</v>
      </c>
      <c r="G2806" s="624"/>
      <c r="O2806" s="616"/>
      <c r="P2806" s="616"/>
      <c r="Q2806" s="616"/>
      <c r="AA2806" s="624"/>
      <c r="AB2806" s="663">
        <v>39157021700</v>
      </c>
      <c r="AC2806" s="663" t="s">
        <v>7738</v>
      </c>
      <c r="AD2806" s="663" t="s">
        <v>4927</v>
      </c>
      <c r="AE2806" s="663" t="s">
        <v>4934</v>
      </c>
      <c r="AF2806" s="663" t="s">
        <v>4929</v>
      </c>
    </row>
    <row r="2807" spans="1:32" s="608" customFormat="1" x14ac:dyDescent="0.25">
      <c r="A2807" s="624"/>
      <c r="B2807" s="617">
        <v>39153502600</v>
      </c>
      <c r="C2807" s="617" t="s">
        <v>4475</v>
      </c>
      <c r="D2807" s="617" t="s">
        <v>100</v>
      </c>
      <c r="E2807" s="617" t="s">
        <v>4860</v>
      </c>
      <c r="F2807" s="617" t="s">
        <v>24</v>
      </c>
      <c r="G2807" s="624"/>
      <c r="O2807" s="616"/>
      <c r="P2807" s="616"/>
      <c r="Q2807" s="616"/>
      <c r="AA2807" s="624"/>
      <c r="AB2807" s="663">
        <v>39157021800</v>
      </c>
      <c r="AC2807" s="663" t="s">
        <v>7739</v>
      </c>
      <c r="AD2807" s="663" t="s">
        <v>4948</v>
      </c>
      <c r="AE2807" s="663" t="s">
        <v>4942</v>
      </c>
      <c r="AF2807" s="663" t="s">
        <v>4929</v>
      </c>
    </row>
    <row r="2808" spans="1:32" s="608" customFormat="1" x14ac:dyDescent="0.25">
      <c r="A2808" s="624"/>
      <c r="B2808" s="617">
        <v>39153502700</v>
      </c>
      <c r="C2808" s="617" t="s">
        <v>4476</v>
      </c>
      <c r="D2808" s="617" t="s">
        <v>100</v>
      </c>
      <c r="E2808" s="617" t="s">
        <v>4860</v>
      </c>
      <c r="F2808" s="617" t="s">
        <v>26</v>
      </c>
      <c r="G2808" s="624"/>
      <c r="O2808" s="616"/>
      <c r="P2808" s="616"/>
      <c r="Q2808" s="616"/>
      <c r="AA2808" s="624"/>
      <c r="AB2808" s="663">
        <v>39157021900</v>
      </c>
      <c r="AC2808" s="663" t="s">
        <v>7740</v>
      </c>
      <c r="AD2808" s="663" t="s">
        <v>4948</v>
      </c>
      <c r="AE2808" s="663" t="s">
        <v>4931</v>
      </c>
      <c r="AF2808" s="663" t="s">
        <v>4929</v>
      </c>
    </row>
    <row r="2809" spans="1:32" s="608" customFormat="1" x14ac:dyDescent="0.25">
      <c r="A2809" s="624"/>
      <c r="B2809" s="617">
        <v>39153502800</v>
      </c>
      <c r="C2809" s="617" t="s">
        <v>4477</v>
      </c>
      <c r="D2809" s="617" t="s">
        <v>100</v>
      </c>
      <c r="E2809" s="617" t="s">
        <v>4860</v>
      </c>
      <c r="F2809" s="617" t="s">
        <v>26</v>
      </c>
      <c r="G2809" s="624"/>
      <c r="O2809" s="616"/>
      <c r="P2809" s="616"/>
      <c r="Q2809" s="616"/>
      <c r="AA2809" s="624"/>
      <c r="AB2809" s="663">
        <v>39157022001</v>
      </c>
      <c r="AC2809" s="663" t="s">
        <v>7741</v>
      </c>
      <c r="AD2809" s="663" t="s">
        <v>4950</v>
      </c>
      <c r="AE2809" s="663" t="s">
        <v>4934</v>
      </c>
      <c r="AF2809" s="663" t="s">
        <v>4929</v>
      </c>
    </row>
    <row r="2810" spans="1:32" s="608" customFormat="1" x14ac:dyDescent="0.25">
      <c r="A2810" s="624"/>
      <c r="B2810" s="617">
        <v>39153503100</v>
      </c>
      <c r="C2810" s="617" t="s">
        <v>4478</v>
      </c>
      <c r="D2810" s="617" t="s">
        <v>100</v>
      </c>
      <c r="E2810" s="617" t="s">
        <v>4860</v>
      </c>
      <c r="F2810" s="617" t="s">
        <v>24</v>
      </c>
      <c r="G2810" s="624"/>
      <c r="O2810" s="616"/>
      <c r="P2810" s="616"/>
      <c r="Q2810" s="616"/>
      <c r="AA2810" s="624"/>
      <c r="AB2810" s="663">
        <v>39157022002</v>
      </c>
      <c r="AC2810" s="663" t="s">
        <v>7742</v>
      </c>
      <c r="AD2810" s="663" t="s">
        <v>4927</v>
      </c>
      <c r="AE2810" s="663" t="s">
        <v>4939</v>
      </c>
      <c r="AF2810" s="663" t="s">
        <v>4929</v>
      </c>
    </row>
    <row r="2811" spans="1:32" s="608" customFormat="1" x14ac:dyDescent="0.25">
      <c r="A2811" s="624"/>
      <c r="B2811" s="617">
        <v>39153503200</v>
      </c>
      <c r="C2811" s="617" t="s">
        <v>4479</v>
      </c>
      <c r="D2811" s="617" t="s">
        <v>100</v>
      </c>
      <c r="E2811" s="617" t="s">
        <v>4860</v>
      </c>
      <c r="F2811" s="617" t="s">
        <v>24</v>
      </c>
      <c r="G2811" s="624"/>
      <c r="O2811" s="616"/>
      <c r="P2811" s="616"/>
      <c r="Q2811" s="616"/>
      <c r="AA2811" s="624"/>
      <c r="AB2811" s="663">
        <v>39159050100</v>
      </c>
      <c r="AC2811" s="663" t="s">
        <v>7743</v>
      </c>
      <c r="AD2811" s="663" t="s">
        <v>4948</v>
      </c>
      <c r="AE2811" s="663" t="s">
        <v>4939</v>
      </c>
      <c r="AF2811" s="663" t="s">
        <v>4929</v>
      </c>
    </row>
    <row r="2812" spans="1:32" s="608" customFormat="1" x14ac:dyDescent="0.25">
      <c r="A2812" s="624"/>
      <c r="B2812" s="617">
        <v>39153503300</v>
      </c>
      <c r="C2812" s="617" t="s">
        <v>4480</v>
      </c>
      <c r="D2812" s="617" t="s">
        <v>100</v>
      </c>
      <c r="E2812" s="617" t="s">
        <v>4860</v>
      </c>
      <c r="F2812" s="617" t="s">
        <v>24</v>
      </c>
      <c r="G2812" s="624"/>
      <c r="O2812" s="616"/>
      <c r="P2812" s="616"/>
      <c r="Q2812" s="616"/>
      <c r="AA2812" s="624"/>
      <c r="AB2812" s="663">
        <v>39159050200</v>
      </c>
      <c r="AC2812" s="663" t="s">
        <v>7744</v>
      </c>
      <c r="AD2812" s="663" t="s">
        <v>4948</v>
      </c>
      <c r="AE2812" s="663" t="s">
        <v>4931</v>
      </c>
      <c r="AF2812" s="663" t="s">
        <v>4929</v>
      </c>
    </row>
    <row r="2813" spans="1:32" s="608" customFormat="1" x14ac:dyDescent="0.25">
      <c r="A2813" s="624"/>
      <c r="B2813" s="617">
        <v>39153503400</v>
      </c>
      <c r="C2813" s="617" t="s">
        <v>4481</v>
      </c>
      <c r="D2813" s="617" t="s">
        <v>100</v>
      </c>
      <c r="E2813" s="617" t="s">
        <v>4860</v>
      </c>
      <c r="F2813" s="617" t="s">
        <v>24</v>
      </c>
      <c r="G2813" s="624"/>
      <c r="O2813" s="616"/>
      <c r="P2813" s="616"/>
      <c r="Q2813" s="616"/>
      <c r="AA2813" s="624"/>
      <c r="AB2813" s="663">
        <v>39159050301</v>
      </c>
      <c r="AC2813" s="663" t="s">
        <v>7745</v>
      </c>
      <c r="AD2813" s="663" t="s">
        <v>4938</v>
      </c>
      <c r="AE2813" s="663" t="s">
        <v>4934</v>
      </c>
      <c r="AF2813" s="663" t="s">
        <v>4929</v>
      </c>
    </row>
    <row r="2814" spans="1:32" s="608" customFormat="1" x14ac:dyDescent="0.25">
      <c r="A2814" s="624"/>
      <c r="B2814" s="617">
        <v>39153503500</v>
      </c>
      <c r="C2814" s="617" t="s">
        <v>4482</v>
      </c>
      <c r="D2814" s="617" t="s">
        <v>100</v>
      </c>
      <c r="E2814" s="617" t="s">
        <v>4860</v>
      </c>
      <c r="F2814" s="617" t="s">
        <v>24</v>
      </c>
      <c r="G2814" s="624"/>
      <c r="O2814" s="616"/>
      <c r="P2814" s="616"/>
      <c r="Q2814" s="616"/>
      <c r="AA2814" s="624"/>
      <c r="AB2814" s="663">
        <v>39159050303</v>
      </c>
      <c r="AC2814" s="663" t="s">
        <v>7746</v>
      </c>
      <c r="AD2814" s="663" t="s">
        <v>4938</v>
      </c>
      <c r="AE2814" s="663" t="s">
        <v>4939</v>
      </c>
      <c r="AF2814" s="663" t="s">
        <v>4929</v>
      </c>
    </row>
    <row r="2815" spans="1:32" s="608" customFormat="1" x14ac:dyDescent="0.25">
      <c r="A2815" s="624"/>
      <c r="B2815" s="617">
        <v>39153503600</v>
      </c>
      <c r="C2815" s="617" t="s">
        <v>4483</v>
      </c>
      <c r="D2815" s="617" t="s">
        <v>100</v>
      </c>
      <c r="E2815" s="617" t="s">
        <v>4860</v>
      </c>
      <c r="F2815" s="617" t="s">
        <v>26</v>
      </c>
      <c r="G2815" s="624"/>
      <c r="O2815" s="616"/>
      <c r="P2815" s="616"/>
      <c r="Q2815" s="616"/>
      <c r="AA2815" s="624"/>
      <c r="AB2815" s="663">
        <v>39159050304</v>
      </c>
      <c r="AC2815" s="663" t="s">
        <v>7747</v>
      </c>
      <c r="AD2815" s="663" t="s">
        <v>4941</v>
      </c>
      <c r="AE2815" s="663" t="s">
        <v>4939</v>
      </c>
      <c r="AF2815" s="663" t="s">
        <v>4929</v>
      </c>
    </row>
    <row r="2816" spans="1:32" s="608" customFormat="1" x14ac:dyDescent="0.25">
      <c r="A2816" s="624"/>
      <c r="B2816" s="617">
        <v>39153503701</v>
      </c>
      <c r="C2816" s="617" t="s">
        <v>4484</v>
      </c>
      <c r="D2816" s="617" t="s">
        <v>100</v>
      </c>
      <c r="E2816" s="617" t="s">
        <v>4860</v>
      </c>
      <c r="F2816" s="617" t="s">
        <v>26</v>
      </c>
      <c r="G2816" s="624"/>
      <c r="O2816" s="616"/>
      <c r="P2816" s="616"/>
      <c r="Q2816" s="616"/>
      <c r="AA2816" s="624"/>
      <c r="AB2816" s="663">
        <v>39159050400</v>
      </c>
      <c r="AC2816" s="663" t="s">
        <v>7748</v>
      </c>
      <c r="AD2816" s="663" t="s">
        <v>4938</v>
      </c>
      <c r="AE2816" s="663" t="s">
        <v>4942</v>
      </c>
      <c r="AF2816" s="663" t="s">
        <v>4929</v>
      </c>
    </row>
    <row r="2817" spans="1:32" s="608" customFormat="1" x14ac:dyDescent="0.25">
      <c r="A2817" s="624"/>
      <c r="B2817" s="617">
        <v>39153503702</v>
      </c>
      <c r="C2817" s="617" t="s">
        <v>4485</v>
      </c>
      <c r="D2817" s="617" t="s">
        <v>100</v>
      </c>
      <c r="E2817" s="617" t="s">
        <v>4860</v>
      </c>
      <c r="F2817" s="617" t="s">
        <v>26</v>
      </c>
      <c r="G2817" s="624"/>
      <c r="O2817" s="616"/>
      <c r="P2817" s="616"/>
      <c r="Q2817" s="616"/>
      <c r="AA2817" s="624"/>
      <c r="AB2817" s="663">
        <v>39159050500</v>
      </c>
      <c r="AC2817" s="663" t="s">
        <v>7749</v>
      </c>
      <c r="AD2817" s="663" t="s">
        <v>4938</v>
      </c>
      <c r="AE2817" s="663" t="s">
        <v>4939</v>
      </c>
      <c r="AF2817" s="663" t="s">
        <v>4929</v>
      </c>
    </row>
    <row r="2818" spans="1:32" s="608" customFormat="1" x14ac:dyDescent="0.25">
      <c r="A2818" s="624"/>
      <c r="B2818" s="617">
        <v>39153503800</v>
      </c>
      <c r="C2818" s="617" t="s">
        <v>4486</v>
      </c>
      <c r="D2818" s="617" t="s">
        <v>100</v>
      </c>
      <c r="E2818" s="617" t="s">
        <v>4860</v>
      </c>
      <c r="F2818" s="617" t="s">
        <v>24</v>
      </c>
      <c r="G2818" s="624"/>
      <c r="O2818" s="616"/>
      <c r="P2818" s="616"/>
      <c r="Q2818" s="616"/>
      <c r="AA2818" s="624"/>
      <c r="AB2818" s="663">
        <v>39159050601</v>
      </c>
      <c r="AC2818" s="663" t="s">
        <v>7750</v>
      </c>
      <c r="AD2818" s="663" t="s">
        <v>4938</v>
      </c>
      <c r="AE2818" s="663" t="s">
        <v>4939</v>
      </c>
      <c r="AF2818" s="663" t="s">
        <v>4929</v>
      </c>
    </row>
    <row r="2819" spans="1:32" s="608" customFormat="1" x14ac:dyDescent="0.25">
      <c r="A2819" s="624"/>
      <c r="B2819" s="617">
        <v>39153504100</v>
      </c>
      <c r="C2819" s="617" t="s">
        <v>4487</v>
      </c>
      <c r="D2819" s="617" t="s">
        <v>100</v>
      </c>
      <c r="E2819" s="617" t="s">
        <v>4860</v>
      </c>
      <c r="F2819" s="617" t="s">
        <v>24</v>
      </c>
      <c r="G2819" s="624"/>
      <c r="O2819" s="616"/>
      <c r="P2819" s="616"/>
      <c r="Q2819" s="616"/>
      <c r="AA2819" s="624"/>
      <c r="AB2819" s="663">
        <v>39159050602</v>
      </c>
      <c r="AC2819" s="663" t="s">
        <v>7751</v>
      </c>
      <c r="AD2819" s="663" t="s">
        <v>4938</v>
      </c>
      <c r="AE2819" s="663" t="s">
        <v>4939</v>
      </c>
      <c r="AF2819" s="663" t="s">
        <v>4929</v>
      </c>
    </row>
    <row r="2820" spans="1:32" s="608" customFormat="1" x14ac:dyDescent="0.25">
      <c r="A2820" s="624"/>
      <c r="B2820" s="617">
        <v>39153504200</v>
      </c>
      <c r="C2820" s="617" t="s">
        <v>4488</v>
      </c>
      <c r="D2820" s="617" t="s">
        <v>100</v>
      </c>
      <c r="E2820" s="617" t="s">
        <v>4860</v>
      </c>
      <c r="F2820" s="617" t="s">
        <v>24</v>
      </c>
      <c r="G2820" s="624"/>
      <c r="O2820" s="616"/>
      <c r="P2820" s="616"/>
      <c r="Q2820" s="616"/>
      <c r="AA2820" s="624"/>
      <c r="AB2820" s="663">
        <v>39159050700</v>
      </c>
      <c r="AC2820" s="663" t="s">
        <v>7752</v>
      </c>
      <c r="AD2820" s="663" t="s">
        <v>4938</v>
      </c>
      <c r="AE2820" s="663" t="s">
        <v>4939</v>
      </c>
      <c r="AF2820" s="663" t="s">
        <v>4929</v>
      </c>
    </row>
    <row r="2821" spans="1:32" s="608" customFormat="1" x14ac:dyDescent="0.25">
      <c r="A2821" s="624"/>
      <c r="B2821" s="617">
        <v>39153504400</v>
      </c>
      <c r="C2821" s="617" t="s">
        <v>4489</v>
      </c>
      <c r="D2821" s="617" t="s">
        <v>100</v>
      </c>
      <c r="E2821" s="617" t="s">
        <v>4860</v>
      </c>
      <c r="F2821" s="617" t="s">
        <v>24</v>
      </c>
      <c r="G2821" s="624"/>
      <c r="O2821" s="616"/>
      <c r="P2821" s="616"/>
      <c r="Q2821" s="616"/>
      <c r="AA2821" s="624"/>
      <c r="AB2821" s="663">
        <v>39161020100</v>
      </c>
      <c r="AC2821" s="663" t="s">
        <v>7753</v>
      </c>
      <c r="AD2821" s="663" t="s">
        <v>4938</v>
      </c>
      <c r="AE2821" s="663" t="s">
        <v>4942</v>
      </c>
      <c r="AF2821" s="663" t="s">
        <v>4929</v>
      </c>
    </row>
    <row r="2822" spans="1:32" s="608" customFormat="1" x14ac:dyDescent="0.25">
      <c r="A2822" s="624"/>
      <c r="B2822" s="617">
        <v>39153504500</v>
      </c>
      <c r="C2822" s="617" t="s">
        <v>4490</v>
      </c>
      <c r="D2822" s="617" t="s">
        <v>100</v>
      </c>
      <c r="E2822" s="617" t="s">
        <v>4860</v>
      </c>
      <c r="F2822" s="617" t="s">
        <v>24</v>
      </c>
      <c r="G2822" s="624"/>
      <c r="O2822" s="616"/>
      <c r="P2822" s="616"/>
      <c r="Q2822" s="616"/>
      <c r="AA2822" s="624"/>
      <c r="AB2822" s="663">
        <v>39161020200</v>
      </c>
      <c r="AC2822" s="663" t="s">
        <v>7754</v>
      </c>
      <c r="AD2822" s="663" t="s">
        <v>4941</v>
      </c>
      <c r="AE2822" s="663" t="s">
        <v>4942</v>
      </c>
      <c r="AF2822" s="663" t="s">
        <v>4929</v>
      </c>
    </row>
    <row r="2823" spans="1:32" s="608" customFormat="1" x14ac:dyDescent="0.25">
      <c r="A2823" s="624"/>
      <c r="B2823" s="617">
        <v>39153504600</v>
      </c>
      <c r="C2823" s="617" t="s">
        <v>4491</v>
      </c>
      <c r="D2823" s="617" t="s">
        <v>100</v>
      </c>
      <c r="E2823" s="617" t="s">
        <v>4860</v>
      </c>
      <c r="F2823" s="617" t="s">
        <v>24</v>
      </c>
      <c r="G2823" s="624"/>
      <c r="O2823" s="616"/>
      <c r="P2823" s="616"/>
      <c r="Q2823" s="616"/>
      <c r="AA2823" s="624"/>
      <c r="AB2823" s="663">
        <v>39161020300</v>
      </c>
      <c r="AC2823" s="663" t="s">
        <v>7755</v>
      </c>
      <c r="AD2823" s="663" t="s">
        <v>4941</v>
      </c>
      <c r="AE2823" s="663" t="s">
        <v>4942</v>
      </c>
      <c r="AF2823" s="663" t="s">
        <v>4929</v>
      </c>
    </row>
    <row r="2824" spans="1:32" s="608" customFormat="1" x14ac:dyDescent="0.25">
      <c r="A2824" s="624"/>
      <c r="B2824" s="617">
        <v>39153504700</v>
      </c>
      <c r="C2824" s="617" t="s">
        <v>4492</v>
      </c>
      <c r="D2824" s="617" t="s">
        <v>100</v>
      </c>
      <c r="E2824" s="617" t="s">
        <v>4860</v>
      </c>
      <c r="F2824" s="617" t="s">
        <v>26</v>
      </c>
      <c r="G2824" s="624"/>
      <c r="O2824" s="616"/>
      <c r="P2824" s="616"/>
      <c r="Q2824" s="616"/>
      <c r="AA2824" s="624"/>
      <c r="AB2824" s="663">
        <v>39161020400</v>
      </c>
      <c r="AC2824" s="663" t="s">
        <v>7756</v>
      </c>
      <c r="AD2824" s="663" t="s">
        <v>4941</v>
      </c>
      <c r="AE2824" s="663" t="s">
        <v>4939</v>
      </c>
      <c r="AF2824" s="663" t="s">
        <v>4929</v>
      </c>
    </row>
    <row r="2825" spans="1:32" s="608" customFormat="1" x14ac:dyDescent="0.25">
      <c r="A2825" s="624"/>
      <c r="B2825" s="617">
        <v>39153504800</v>
      </c>
      <c r="C2825" s="617" t="s">
        <v>4493</v>
      </c>
      <c r="D2825" s="617" t="s">
        <v>100</v>
      </c>
      <c r="E2825" s="617" t="s">
        <v>4860</v>
      </c>
      <c r="F2825" s="617" t="s">
        <v>26</v>
      </c>
      <c r="G2825" s="624"/>
      <c r="O2825" s="616"/>
      <c r="P2825" s="616"/>
      <c r="Q2825" s="616"/>
      <c r="AA2825" s="624"/>
      <c r="AB2825" s="663">
        <v>39161020500</v>
      </c>
      <c r="AC2825" s="663" t="s">
        <v>7757</v>
      </c>
      <c r="AD2825" s="663" t="s">
        <v>4941</v>
      </c>
      <c r="AE2825" s="663" t="s">
        <v>4928</v>
      </c>
      <c r="AF2825" s="663" t="s">
        <v>4983</v>
      </c>
    </row>
    <row r="2826" spans="1:32" s="608" customFormat="1" x14ac:dyDescent="0.25">
      <c r="A2826" s="624"/>
      <c r="B2826" s="617">
        <v>39153505200</v>
      </c>
      <c r="C2826" s="617" t="s">
        <v>4494</v>
      </c>
      <c r="D2826" s="617" t="s">
        <v>100</v>
      </c>
      <c r="E2826" s="617" t="s">
        <v>4860</v>
      </c>
      <c r="F2826" s="617" t="s">
        <v>24</v>
      </c>
      <c r="G2826" s="624"/>
      <c r="O2826" s="616"/>
      <c r="P2826" s="616"/>
      <c r="Q2826" s="616"/>
      <c r="AA2826" s="624"/>
      <c r="AB2826" s="663">
        <v>39161020600</v>
      </c>
      <c r="AC2826" s="663" t="s">
        <v>7758</v>
      </c>
      <c r="AD2826" s="663" t="s">
        <v>4950</v>
      </c>
      <c r="AE2826" s="663" t="s">
        <v>4928</v>
      </c>
      <c r="AF2826" s="663" t="s">
        <v>4929</v>
      </c>
    </row>
    <row r="2827" spans="1:32" s="608" customFormat="1" x14ac:dyDescent="0.25">
      <c r="A2827" s="624"/>
      <c r="B2827" s="617">
        <v>39153505300</v>
      </c>
      <c r="C2827" s="617" t="s">
        <v>4495</v>
      </c>
      <c r="D2827" s="617" t="s">
        <v>100</v>
      </c>
      <c r="E2827" s="617" t="s">
        <v>4860</v>
      </c>
      <c r="F2827" s="617" t="s">
        <v>24</v>
      </c>
      <c r="G2827" s="624"/>
      <c r="O2827" s="616"/>
      <c r="P2827" s="616"/>
      <c r="Q2827" s="616"/>
      <c r="AA2827" s="624"/>
      <c r="AB2827" s="663">
        <v>39161020700</v>
      </c>
      <c r="AC2827" s="663" t="s">
        <v>7759</v>
      </c>
      <c r="AD2827" s="663" t="s">
        <v>4950</v>
      </c>
      <c r="AE2827" s="663" t="s">
        <v>4939</v>
      </c>
      <c r="AF2827" s="663" t="s">
        <v>4929</v>
      </c>
    </row>
    <row r="2828" spans="1:32" s="608" customFormat="1" x14ac:dyDescent="0.25">
      <c r="A2828" s="624"/>
      <c r="B2828" s="617">
        <v>39153505400</v>
      </c>
      <c r="C2828" s="617" t="s">
        <v>4496</v>
      </c>
      <c r="D2828" s="617" t="s">
        <v>100</v>
      </c>
      <c r="E2828" s="617" t="s">
        <v>4860</v>
      </c>
      <c r="F2828" s="617" t="s">
        <v>26</v>
      </c>
      <c r="G2828" s="624"/>
      <c r="O2828" s="616"/>
      <c r="P2828" s="616"/>
      <c r="Q2828" s="616"/>
      <c r="AA2828" s="624"/>
      <c r="AB2828" s="663">
        <v>39161020800</v>
      </c>
      <c r="AC2828" s="663" t="s">
        <v>7760</v>
      </c>
      <c r="AD2828" s="663" t="s">
        <v>4941</v>
      </c>
      <c r="AE2828" s="663" t="s">
        <v>4942</v>
      </c>
      <c r="AF2828" s="663" t="s">
        <v>4929</v>
      </c>
    </row>
    <row r="2829" spans="1:32" s="608" customFormat="1" x14ac:dyDescent="0.25">
      <c r="A2829" s="624"/>
      <c r="B2829" s="617">
        <v>39153505500</v>
      </c>
      <c r="C2829" s="617" t="s">
        <v>4497</v>
      </c>
      <c r="D2829" s="617" t="s">
        <v>100</v>
      </c>
      <c r="E2829" s="617" t="s">
        <v>4860</v>
      </c>
      <c r="F2829" s="617" t="s">
        <v>24</v>
      </c>
      <c r="G2829" s="624"/>
      <c r="O2829" s="616"/>
      <c r="P2829" s="616"/>
      <c r="Q2829" s="616"/>
      <c r="AA2829" s="624"/>
      <c r="AB2829" s="663">
        <v>39161020900</v>
      </c>
      <c r="AC2829" s="663" t="s">
        <v>7761</v>
      </c>
      <c r="AD2829" s="663" t="s">
        <v>4941</v>
      </c>
      <c r="AE2829" s="663" t="s">
        <v>4931</v>
      </c>
      <c r="AF2829" s="663" t="s">
        <v>4929</v>
      </c>
    </row>
    <row r="2830" spans="1:32" s="608" customFormat="1" x14ac:dyDescent="0.25">
      <c r="A2830" s="624"/>
      <c r="B2830" s="617">
        <v>39153505600</v>
      </c>
      <c r="C2830" s="617" t="s">
        <v>4498</v>
      </c>
      <c r="D2830" s="617" t="s">
        <v>100</v>
      </c>
      <c r="E2830" s="617" t="s">
        <v>4860</v>
      </c>
      <c r="F2830" s="617" t="s">
        <v>24</v>
      </c>
      <c r="G2830" s="624"/>
      <c r="O2830" s="616"/>
      <c r="P2830" s="616"/>
      <c r="Q2830" s="616"/>
      <c r="AA2830" s="624"/>
      <c r="AB2830" s="663">
        <v>39163953000</v>
      </c>
      <c r="AC2830" s="663" t="s">
        <v>7762</v>
      </c>
      <c r="AD2830" s="663" t="s">
        <v>4927</v>
      </c>
      <c r="AE2830" s="663" t="s">
        <v>4942</v>
      </c>
      <c r="AF2830" s="663" t="s">
        <v>4929</v>
      </c>
    </row>
    <row r="2831" spans="1:32" s="608" customFormat="1" x14ac:dyDescent="0.25">
      <c r="A2831" s="624"/>
      <c r="B2831" s="617">
        <v>39153505700</v>
      </c>
      <c r="C2831" s="617" t="s">
        <v>4499</v>
      </c>
      <c r="D2831" s="617" t="s">
        <v>100</v>
      </c>
      <c r="E2831" s="617" t="s">
        <v>4860</v>
      </c>
      <c r="F2831" s="617" t="s">
        <v>26</v>
      </c>
      <c r="G2831" s="624"/>
      <c r="O2831" s="616"/>
      <c r="P2831" s="616"/>
      <c r="Q2831" s="616"/>
      <c r="AA2831" s="624"/>
      <c r="AB2831" s="663">
        <v>39163953100</v>
      </c>
      <c r="AC2831" s="663" t="s">
        <v>7763</v>
      </c>
      <c r="AD2831" s="663" t="s">
        <v>4927</v>
      </c>
      <c r="AE2831" s="663" t="s">
        <v>4942</v>
      </c>
      <c r="AF2831" s="663" t="s">
        <v>4929</v>
      </c>
    </row>
    <row r="2832" spans="1:32" s="608" customFormat="1" x14ac:dyDescent="0.25">
      <c r="A2832" s="624"/>
      <c r="B2832" s="617">
        <v>39153505800</v>
      </c>
      <c r="C2832" s="617" t="s">
        <v>4500</v>
      </c>
      <c r="D2832" s="617" t="s">
        <v>100</v>
      </c>
      <c r="E2832" s="617" t="s">
        <v>4860</v>
      </c>
      <c r="F2832" s="617" t="s">
        <v>24</v>
      </c>
      <c r="G2832" s="624"/>
      <c r="O2832" s="616"/>
      <c r="P2832" s="616"/>
      <c r="Q2832" s="616"/>
      <c r="AA2832" s="624"/>
      <c r="AB2832" s="663">
        <v>39163953200</v>
      </c>
      <c r="AC2832" s="663" t="s">
        <v>7764</v>
      </c>
      <c r="AD2832" s="663" t="s">
        <v>4927</v>
      </c>
      <c r="AE2832" s="663" t="s">
        <v>4939</v>
      </c>
      <c r="AF2832" s="663" t="s">
        <v>4929</v>
      </c>
    </row>
    <row r="2833" spans="1:32" s="608" customFormat="1" x14ac:dyDescent="0.25">
      <c r="A2833" s="624"/>
      <c r="B2833" s="617">
        <v>39153505900</v>
      </c>
      <c r="C2833" s="617" t="s">
        <v>4501</v>
      </c>
      <c r="D2833" s="617" t="s">
        <v>100</v>
      </c>
      <c r="E2833" s="617" t="s">
        <v>4860</v>
      </c>
      <c r="F2833" s="617" t="s">
        <v>26</v>
      </c>
      <c r="G2833" s="624"/>
      <c r="O2833" s="616"/>
      <c r="P2833" s="616"/>
      <c r="Q2833" s="616"/>
      <c r="AA2833" s="624"/>
      <c r="AB2833" s="663">
        <v>39165030101</v>
      </c>
      <c r="AC2833" s="663" t="s">
        <v>7765</v>
      </c>
      <c r="AD2833" s="663" t="s">
        <v>4950</v>
      </c>
      <c r="AE2833" s="663" t="s">
        <v>4942</v>
      </c>
      <c r="AF2833" s="663" t="s">
        <v>4946</v>
      </c>
    </row>
    <row r="2834" spans="1:32" s="608" customFormat="1" x14ac:dyDescent="0.25">
      <c r="A2834" s="624"/>
      <c r="B2834" s="617">
        <v>39153506100</v>
      </c>
      <c r="C2834" s="617" t="s">
        <v>4502</v>
      </c>
      <c r="D2834" s="617" t="s">
        <v>100</v>
      </c>
      <c r="E2834" s="617" t="s">
        <v>4860</v>
      </c>
      <c r="F2834" s="617" t="s">
        <v>26</v>
      </c>
      <c r="G2834" s="624"/>
      <c r="O2834" s="616"/>
      <c r="P2834" s="616"/>
      <c r="Q2834" s="616"/>
      <c r="AA2834" s="624"/>
      <c r="AB2834" s="663">
        <v>39165030102</v>
      </c>
      <c r="AC2834" s="663" t="s">
        <v>7766</v>
      </c>
      <c r="AD2834" s="663" t="s">
        <v>4950</v>
      </c>
      <c r="AE2834" s="663" t="s">
        <v>4939</v>
      </c>
      <c r="AF2834" s="663" t="s">
        <v>4946</v>
      </c>
    </row>
    <row r="2835" spans="1:32" s="608" customFormat="1" x14ac:dyDescent="0.25">
      <c r="A2835" s="624"/>
      <c r="B2835" s="617">
        <v>39153506200</v>
      </c>
      <c r="C2835" s="617" t="s">
        <v>4503</v>
      </c>
      <c r="D2835" s="617" t="s">
        <v>100</v>
      </c>
      <c r="E2835" s="617" t="s">
        <v>4860</v>
      </c>
      <c r="F2835" s="617" t="s">
        <v>26</v>
      </c>
      <c r="G2835" s="624"/>
      <c r="O2835" s="616"/>
      <c r="P2835" s="616"/>
      <c r="Q2835" s="616"/>
      <c r="AA2835" s="624"/>
      <c r="AB2835" s="663">
        <v>39165030200</v>
      </c>
      <c r="AC2835" s="663" t="s">
        <v>7767</v>
      </c>
      <c r="AD2835" s="663" t="s">
        <v>4927</v>
      </c>
      <c r="AE2835" s="663" t="s">
        <v>4939</v>
      </c>
      <c r="AF2835" s="663" t="s">
        <v>4946</v>
      </c>
    </row>
    <row r="2836" spans="1:32" s="608" customFormat="1" x14ac:dyDescent="0.25">
      <c r="A2836" s="624"/>
      <c r="B2836" s="617">
        <v>39153506400</v>
      </c>
      <c r="C2836" s="617" t="s">
        <v>4504</v>
      </c>
      <c r="D2836" s="617" t="s">
        <v>100</v>
      </c>
      <c r="E2836" s="617" t="s">
        <v>4860</v>
      </c>
      <c r="F2836" s="617" t="s">
        <v>24</v>
      </c>
      <c r="G2836" s="624"/>
      <c r="O2836" s="616"/>
      <c r="P2836" s="616"/>
      <c r="Q2836" s="616"/>
      <c r="AA2836" s="624"/>
      <c r="AB2836" s="663">
        <v>39165030501</v>
      </c>
      <c r="AC2836" s="663" t="s">
        <v>7768</v>
      </c>
      <c r="AD2836" s="663" t="s">
        <v>4950</v>
      </c>
      <c r="AE2836" s="663" t="s">
        <v>4942</v>
      </c>
      <c r="AF2836" s="663" t="s">
        <v>4946</v>
      </c>
    </row>
    <row r="2837" spans="1:32" s="608" customFormat="1" x14ac:dyDescent="0.25">
      <c r="A2837" s="624"/>
      <c r="B2837" s="617">
        <v>39153506500</v>
      </c>
      <c r="C2837" s="617" t="s">
        <v>4505</v>
      </c>
      <c r="D2837" s="617" t="s">
        <v>100</v>
      </c>
      <c r="E2837" s="617" t="s">
        <v>4860</v>
      </c>
      <c r="F2837" s="617" t="s">
        <v>24</v>
      </c>
      <c r="G2837" s="624"/>
      <c r="O2837" s="616"/>
      <c r="P2837" s="616"/>
      <c r="Q2837" s="616"/>
      <c r="AA2837" s="624"/>
      <c r="AB2837" s="663">
        <v>39165030503</v>
      </c>
      <c r="AC2837" s="663" t="s">
        <v>7769</v>
      </c>
      <c r="AD2837" s="663" t="s">
        <v>4938</v>
      </c>
      <c r="AE2837" s="663" t="s">
        <v>4939</v>
      </c>
      <c r="AF2837" s="663" t="s">
        <v>4946</v>
      </c>
    </row>
    <row r="2838" spans="1:32" s="608" customFormat="1" x14ac:dyDescent="0.25">
      <c r="A2838" s="624"/>
      <c r="B2838" s="617">
        <v>39153506600</v>
      </c>
      <c r="C2838" s="617" t="s">
        <v>4506</v>
      </c>
      <c r="D2838" s="617" t="s">
        <v>100</v>
      </c>
      <c r="E2838" s="617" t="s">
        <v>4860</v>
      </c>
      <c r="F2838" s="617" t="s">
        <v>24</v>
      </c>
      <c r="G2838" s="624"/>
      <c r="O2838" s="616"/>
      <c r="P2838" s="616"/>
      <c r="Q2838" s="616"/>
      <c r="AA2838" s="624"/>
      <c r="AB2838" s="663">
        <v>39165030504</v>
      </c>
      <c r="AC2838" s="663" t="s">
        <v>7770</v>
      </c>
      <c r="AD2838" s="663" t="s">
        <v>4938</v>
      </c>
      <c r="AE2838" s="663" t="s">
        <v>4939</v>
      </c>
      <c r="AF2838" s="663" t="s">
        <v>4946</v>
      </c>
    </row>
    <row r="2839" spans="1:32" s="608" customFormat="1" x14ac:dyDescent="0.25">
      <c r="A2839" s="624"/>
      <c r="B2839" s="617">
        <v>39153506700</v>
      </c>
      <c r="C2839" s="617" t="s">
        <v>4507</v>
      </c>
      <c r="D2839" s="617" t="s">
        <v>100</v>
      </c>
      <c r="E2839" s="617" t="s">
        <v>4860</v>
      </c>
      <c r="F2839" s="617" t="s">
        <v>24</v>
      </c>
      <c r="G2839" s="624"/>
      <c r="O2839" s="616"/>
      <c r="P2839" s="616"/>
      <c r="Q2839" s="616"/>
      <c r="AA2839" s="624"/>
      <c r="AB2839" s="663">
        <v>39165030600</v>
      </c>
      <c r="AC2839" s="663" t="s">
        <v>7771</v>
      </c>
      <c r="AD2839" s="663" t="s">
        <v>4948</v>
      </c>
      <c r="AE2839" s="663" t="s">
        <v>4939</v>
      </c>
      <c r="AF2839" s="663" t="s">
        <v>4946</v>
      </c>
    </row>
    <row r="2840" spans="1:32" s="608" customFormat="1" x14ac:dyDescent="0.25">
      <c r="A2840" s="624"/>
      <c r="B2840" s="617">
        <v>39153506800</v>
      </c>
      <c r="C2840" s="617" t="s">
        <v>4508</v>
      </c>
      <c r="D2840" s="617" t="s">
        <v>100</v>
      </c>
      <c r="E2840" s="617" t="s">
        <v>4860</v>
      </c>
      <c r="F2840" s="617" t="s">
        <v>24</v>
      </c>
      <c r="G2840" s="624"/>
      <c r="O2840" s="616"/>
      <c r="P2840" s="616"/>
      <c r="Q2840" s="616"/>
      <c r="AA2840" s="624"/>
      <c r="AB2840" s="663">
        <v>39165030700</v>
      </c>
      <c r="AC2840" s="663" t="s">
        <v>7772</v>
      </c>
      <c r="AD2840" s="663" t="s">
        <v>4938</v>
      </c>
      <c r="AE2840" s="663" t="s">
        <v>4942</v>
      </c>
      <c r="AF2840" s="663" t="s">
        <v>4929</v>
      </c>
    </row>
    <row r="2841" spans="1:32" s="608" customFormat="1" x14ac:dyDescent="0.25">
      <c r="A2841" s="624"/>
      <c r="B2841" s="617">
        <v>39153507101</v>
      </c>
      <c r="C2841" s="617" t="s">
        <v>4509</v>
      </c>
      <c r="D2841" s="617" t="s">
        <v>100</v>
      </c>
      <c r="E2841" s="617" t="s">
        <v>4860</v>
      </c>
      <c r="F2841" s="617" t="s">
        <v>26</v>
      </c>
      <c r="G2841" s="624"/>
      <c r="O2841" s="616"/>
      <c r="P2841" s="616"/>
      <c r="Q2841" s="616"/>
      <c r="AA2841" s="624"/>
      <c r="AB2841" s="663">
        <v>39165030800</v>
      </c>
      <c r="AC2841" s="663" t="s">
        <v>7773</v>
      </c>
      <c r="AD2841" s="663" t="s">
        <v>4938</v>
      </c>
      <c r="AE2841" s="663" t="s">
        <v>4939</v>
      </c>
      <c r="AF2841" s="663" t="s">
        <v>4929</v>
      </c>
    </row>
    <row r="2842" spans="1:32" s="608" customFormat="1" x14ac:dyDescent="0.25">
      <c r="A2842" s="624"/>
      <c r="B2842" s="617">
        <v>39153507102</v>
      </c>
      <c r="C2842" s="617" t="s">
        <v>4510</v>
      </c>
      <c r="D2842" s="617" t="s">
        <v>100</v>
      </c>
      <c r="E2842" s="617" t="s">
        <v>4860</v>
      </c>
      <c r="F2842" s="617" t="s">
        <v>26</v>
      </c>
      <c r="G2842" s="624"/>
      <c r="O2842" s="616"/>
      <c r="P2842" s="616"/>
      <c r="Q2842" s="616"/>
      <c r="AA2842" s="624"/>
      <c r="AB2842" s="663">
        <v>39165030900</v>
      </c>
      <c r="AC2842" s="663" t="s">
        <v>7774</v>
      </c>
      <c r="AD2842" s="663" t="s">
        <v>4938</v>
      </c>
      <c r="AE2842" s="663" t="s">
        <v>4934</v>
      </c>
      <c r="AF2842" s="663" t="s">
        <v>4946</v>
      </c>
    </row>
    <row r="2843" spans="1:32" s="608" customFormat="1" x14ac:dyDescent="0.25">
      <c r="A2843" s="624"/>
      <c r="B2843" s="617">
        <v>39153507201</v>
      </c>
      <c r="C2843" s="617" t="s">
        <v>4511</v>
      </c>
      <c r="D2843" s="617" t="s">
        <v>100</v>
      </c>
      <c r="E2843" s="617" t="s">
        <v>4860</v>
      </c>
      <c r="F2843" s="617" t="s">
        <v>26</v>
      </c>
      <c r="G2843" s="624"/>
      <c r="O2843" s="616"/>
      <c r="P2843" s="616"/>
      <c r="Q2843" s="616"/>
      <c r="AA2843" s="624"/>
      <c r="AB2843" s="663">
        <v>39165031000</v>
      </c>
      <c r="AC2843" s="663" t="s">
        <v>7775</v>
      </c>
      <c r="AD2843" s="663" t="s">
        <v>4948</v>
      </c>
      <c r="AE2843" s="663" t="s">
        <v>4942</v>
      </c>
      <c r="AF2843" s="663" t="s">
        <v>4946</v>
      </c>
    </row>
    <row r="2844" spans="1:32" s="608" customFormat="1" x14ac:dyDescent="0.25">
      <c r="A2844" s="624"/>
      <c r="B2844" s="617">
        <v>39153507202</v>
      </c>
      <c r="C2844" s="617" t="s">
        <v>4512</v>
      </c>
      <c r="D2844" s="617" t="s">
        <v>100</v>
      </c>
      <c r="E2844" s="617" t="s">
        <v>4860</v>
      </c>
      <c r="F2844" s="617" t="s">
        <v>26</v>
      </c>
      <c r="G2844" s="624"/>
      <c r="O2844" s="616"/>
      <c r="P2844" s="616"/>
      <c r="Q2844" s="616"/>
      <c r="AA2844" s="624"/>
      <c r="AB2844" s="663">
        <v>39165031100</v>
      </c>
      <c r="AC2844" s="663" t="s">
        <v>7776</v>
      </c>
      <c r="AD2844" s="663" t="s">
        <v>4941</v>
      </c>
      <c r="AE2844" s="663" t="s">
        <v>4931</v>
      </c>
      <c r="AF2844" s="663" t="s">
        <v>4929</v>
      </c>
    </row>
    <row r="2845" spans="1:32" s="608" customFormat="1" x14ac:dyDescent="0.25">
      <c r="A2845" s="624"/>
      <c r="B2845" s="617">
        <v>39153507203</v>
      </c>
      <c r="C2845" s="617" t="s">
        <v>4513</v>
      </c>
      <c r="D2845" s="617" t="s">
        <v>100</v>
      </c>
      <c r="E2845" s="617" t="s">
        <v>4860</v>
      </c>
      <c r="F2845" s="617" t="s">
        <v>26</v>
      </c>
      <c r="G2845" s="624"/>
      <c r="O2845" s="616"/>
      <c r="P2845" s="616"/>
      <c r="Q2845" s="616"/>
      <c r="AA2845" s="624"/>
      <c r="AB2845" s="663">
        <v>39165031200</v>
      </c>
      <c r="AC2845" s="663" t="s">
        <v>7777</v>
      </c>
      <c r="AD2845" s="663" t="s">
        <v>4938</v>
      </c>
      <c r="AE2845" s="663" t="s">
        <v>4934</v>
      </c>
      <c r="AF2845" s="663" t="s">
        <v>4929</v>
      </c>
    </row>
    <row r="2846" spans="1:32" s="608" customFormat="1" x14ac:dyDescent="0.25">
      <c r="A2846" s="624"/>
      <c r="B2846" s="617">
        <v>39153507300</v>
      </c>
      <c r="C2846" s="617" t="s">
        <v>4514</v>
      </c>
      <c r="D2846" s="617" t="s">
        <v>100</v>
      </c>
      <c r="E2846" s="617" t="s">
        <v>4860</v>
      </c>
      <c r="F2846" s="617" t="s">
        <v>26</v>
      </c>
      <c r="G2846" s="624"/>
      <c r="O2846" s="616"/>
      <c r="P2846" s="616"/>
      <c r="Q2846" s="616"/>
      <c r="AA2846" s="624"/>
      <c r="AB2846" s="663">
        <v>39165031300</v>
      </c>
      <c r="AC2846" s="663" t="s">
        <v>7778</v>
      </c>
      <c r="AD2846" s="663" t="s">
        <v>4941</v>
      </c>
      <c r="AE2846" s="663" t="s">
        <v>4942</v>
      </c>
      <c r="AF2846" s="663" t="s">
        <v>4946</v>
      </c>
    </row>
    <row r="2847" spans="1:32" s="608" customFormat="1" x14ac:dyDescent="0.25">
      <c r="A2847" s="624"/>
      <c r="B2847" s="617">
        <v>39153507400</v>
      </c>
      <c r="C2847" s="617" t="s">
        <v>4515</v>
      </c>
      <c r="D2847" s="617" t="s">
        <v>100</v>
      </c>
      <c r="E2847" s="617" t="s">
        <v>4860</v>
      </c>
      <c r="F2847" s="617" t="s">
        <v>24</v>
      </c>
      <c r="G2847" s="624"/>
      <c r="O2847" s="616"/>
      <c r="P2847" s="616"/>
      <c r="Q2847" s="616"/>
      <c r="AA2847" s="624"/>
      <c r="AB2847" s="663">
        <v>39165031400</v>
      </c>
      <c r="AC2847" s="663" t="s">
        <v>7779</v>
      </c>
      <c r="AD2847" s="663" t="s">
        <v>4950</v>
      </c>
      <c r="AE2847" s="663" t="s">
        <v>4942</v>
      </c>
      <c r="AF2847" s="663" t="s">
        <v>4946</v>
      </c>
    </row>
    <row r="2848" spans="1:32" s="608" customFormat="1" x14ac:dyDescent="0.25">
      <c r="A2848" s="624"/>
      <c r="B2848" s="617">
        <v>39153507501</v>
      </c>
      <c r="C2848" s="617" t="s">
        <v>4516</v>
      </c>
      <c r="D2848" s="617" t="s">
        <v>100</v>
      </c>
      <c r="E2848" s="617" t="s">
        <v>4860</v>
      </c>
      <c r="F2848" s="617" t="s">
        <v>24</v>
      </c>
      <c r="G2848" s="624"/>
      <c r="O2848" s="616"/>
      <c r="P2848" s="616"/>
      <c r="Q2848" s="616"/>
      <c r="AA2848" s="624"/>
      <c r="AB2848" s="663">
        <v>39165031500</v>
      </c>
      <c r="AC2848" s="663" t="s">
        <v>7780</v>
      </c>
      <c r="AD2848" s="663" t="s">
        <v>4948</v>
      </c>
      <c r="AE2848" s="663" t="s">
        <v>4934</v>
      </c>
      <c r="AF2848" s="663" t="s">
        <v>4946</v>
      </c>
    </row>
    <row r="2849" spans="1:32" s="608" customFormat="1" x14ac:dyDescent="0.25">
      <c r="A2849" s="624"/>
      <c r="B2849" s="617">
        <v>39153507502</v>
      </c>
      <c r="C2849" s="617" t="s">
        <v>4517</v>
      </c>
      <c r="D2849" s="617" t="s">
        <v>100</v>
      </c>
      <c r="E2849" s="617" t="s">
        <v>4860</v>
      </c>
      <c r="F2849" s="617" t="s">
        <v>24</v>
      </c>
      <c r="G2849" s="624"/>
      <c r="O2849" s="616"/>
      <c r="P2849" s="616"/>
      <c r="Q2849" s="616"/>
      <c r="AA2849" s="624"/>
      <c r="AB2849" s="663">
        <v>39165031600</v>
      </c>
      <c r="AC2849" s="663" t="s">
        <v>7781</v>
      </c>
      <c r="AD2849" s="663" t="s">
        <v>4938</v>
      </c>
      <c r="AE2849" s="663" t="s">
        <v>4942</v>
      </c>
      <c r="AF2849" s="663" t="s">
        <v>4929</v>
      </c>
    </row>
    <row r="2850" spans="1:32" s="608" customFormat="1" x14ac:dyDescent="0.25">
      <c r="A2850" s="624"/>
      <c r="B2850" s="617">
        <v>39153507600</v>
      </c>
      <c r="C2850" s="617" t="s">
        <v>4518</v>
      </c>
      <c r="D2850" s="617" t="s">
        <v>100</v>
      </c>
      <c r="E2850" s="617" t="s">
        <v>4860</v>
      </c>
      <c r="F2850" s="617" t="s">
        <v>26</v>
      </c>
      <c r="G2850" s="624"/>
      <c r="O2850" s="616"/>
      <c r="P2850" s="616"/>
      <c r="Q2850" s="616"/>
      <c r="AA2850" s="624"/>
      <c r="AB2850" s="663">
        <v>39165031700</v>
      </c>
      <c r="AC2850" s="663" t="s">
        <v>7782</v>
      </c>
      <c r="AD2850" s="663"/>
      <c r="AE2850" s="663" t="s">
        <v>5237</v>
      </c>
      <c r="AF2850" s="663" t="s">
        <v>4946</v>
      </c>
    </row>
    <row r="2851" spans="1:32" s="608" customFormat="1" x14ac:dyDescent="0.25">
      <c r="A2851" s="624"/>
      <c r="B2851" s="617">
        <v>39153508000</v>
      </c>
      <c r="C2851" s="617" t="s">
        <v>4519</v>
      </c>
      <c r="D2851" s="617" t="s">
        <v>100</v>
      </c>
      <c r="E2851" s="617" t="s">
        <v>4860</v>
      </c>
      <c r="F2851" s="617" t="s">
        <v>26</v>
      </c>
      <c r="G2851" s="624"/>
      <c r="O2851" s="616"/>
      <c r="P2851" s="616"/>
      <c r="Q2851" s="616"/>
      <c r="AA2851" s="624"/>
      <c r="AB2851" s="663">
        <v>39165031902</v>
      </c>
      <c r="AC2851" s="663" t="s">
        <v>7783</v>
      </c>
      <c r="AD2851" s="663" t="s">
        <v>4938</v>
      </c>
      <c r="AE2851" s="663" t="s">
        <v>4942</v>
      </c>
      <c r="AF2851" s="663" t="s">
        <v>4946</v>
      </c>
    </row>
    <row r="2852" spans="1:32" s="608" customFormat="1" x14ac:dyDescent="0.25">
      <c r="A2852" s="624"/>
      <c r="B2852" s="617">
        <v>39153508301</v>
      </c>
      <c r="C2852" s="617" t="s">
        <v>4520</v>
      </c>
      <c r="D2852" s="617" t="s">
        <v>100</v>
      </c>
      <c r="E2852" s="617" t="s">
        <v>4860</v>
      </c>
      <c r="F2852" s="617" t="s">
        <v>24</v>
      </c>
      <c r="G2852" s="624"/>
      <c r="O2852" s="616"/>
      <c r="P2852" s="616"/>
      <c r="Q2852" s="616"/>
      <c r="AA2852" s="624"/>
      <c r="AB2852" s="663">
        <v>39165031903</v>
      </c>
      <c r="AC2852" s="663" t="s">
        <v>7784</v>
      </c>
      <c r="AD2852" s="663" t="s">
        <v>4938</v>
      </c>
      <c r="AE2852" s="663" t="s">
        <v>4939</v>
      </c>
      <c r="AF2852" s="663" t="s">
        <v>4946</v>
      </c>
    </row>
    <row r="2853" spans="1:32" s="608" customFormat="1" x14ac:dyDescent="0.25">
      <c r="A2853" s="624"/>
      <c r="B2853" s="617">
        <v>39153508399</v>
      </c>
      <c r="C2853" s="617" t="s">
        <v>4521</v>
      </c>
      <c r="D2853" s="617" t="s">
        <v>100</v>
      </c>
      <c r="E2853" s="617" t="s">
        <v>4860</v>
      </c>
      <c r="F2853" s="617" t="s">
        <v>24</v>
      </c>
      <c r="G2853" s="624"/>
      <c r="O2853" s="616"/>
      <c r="P2853" s="616"/>
      <c r="Q2853" s="616"/>
      <c r="AA2853" s="624"/>
      <c r="AB2853" s="663">
        <v>39165031904</v>
      </c>
      <c r="AC2853" s="663" t="s">
        <v>7785</v>
      </c>
      <c r="AD2853" s="663" t="s">
        <v>4938</v>
      </c>
      <c r="AE2853" s="663" t="s">
        <v>4939</v>
      </c>
      <c r="AF2853" s="663" t="s">
        <v>4946</v>
      </c>
    </row>
    <row r="2854" spans="1:32" s="608" customFormat="1" x14ac:dyDescent="0.25">
      <c r="A2854" s="624"/>
      <c r="B2854" s="617">
        <v>39153508600</v>
      </c>
      <c r="C2854" s="617" t="s">
        <v>4522</v>
      </c>
      <c r="D2854" s="617" t="s">
        <v>100</v>
      </c>
      <c r="E2854" s="617" t="s">
        <v>4860</v>
      </c>
      <c r="F2854" s="617" t="s">
        <v>24</v>
      </c>
      <c r="G2854" s="624"/>
      <c r="O2854" s="616"/>
      <c r="P2854" s="616"/>
      <c r="Q2854" s="616"/>
      <c r="AA2854" s="624"/>
      <c r="AB2854" s="663">
        <v>39165032003</v>
      </c>
      <c r="AC2854" s="663" t="s">
        <v>7786</v>
      </c>
      <c r="AD2854" s="663" t="s">
        <v>4938</v>
      </c>
      <c r="AE2854" s="663" t="s">
        <v>4942</v>
      </c>
      <c r="AF2854" s="663" t="s">
        <v>4946</v>
      </c>
    </row>
    <row r="2855" spans="1:32" s="608" customFormat="1" x14ac:dyDescent="0.25">
      <c r="A2855" s="624"/>
      <c r="B2855" s="617">
        <v>39153508800</v>
      </c>
      <c r="C2855" s="617" t="s">
        <v>4523</v>
      </c>
      <c r="D2855" s="617" t="s">
        <v>100</v>
      </c>
      <c r="E2855" s="617" t="s">
        <v>4860</v>
      </c>
      <c r="F2855" s="617" t="s">
        <v>24</v>
      </c>
      <c r="G2855" s="624"/>
      <c r="O2855" s="616"/>
      <c r="P2855" s="616"/>
      <c r="Q2855" s="616"/>
      <c r="AA2855" s="624"/>
      <c r="AB2855" s="663">
        <v>39165032004</v>
      </c>
      <c r="AC2855" s="663" t="s">
        <v>7787</v>
      </c>
      <c r="AD2855" s="663" t="s">
        <v>4938</v>
      </c>
      <c r="AE2855" s="663" t="s">
        <v>4934</v>
      </c>
      <c r="AF2855" s="663" t="s">
        <v>4946</v>
      </c>
    </row>
    <row r="2856" spans="1:32" s="608" customFormat="1" x14ac:dyDescent="0.25">
      <c r="A2856" s="624"/>
      <c r="B2856" s="617">
        <v>39153508900</v>
      </c>
      <c r="C2856" s="617" t="s">
        <v>4524</v>
      </c>
      <c r="D2856" s="617" t="s">
        <v>100</v>
      </c>
      <c r="E2856" s="617" t="s">
        <v>4860</v>
      </c>
      <c r="F2856" s="617" t="s">
        <v>24</v>
      </c>
      <c r="G2856" s="624"/>
      <c r="O2856" s="616"/>
      <c r="P2856" s="616"/>
      <c r="Q2856" s="616"/>
      <c r="AA2856" s="624"/>
      <c r="AB2856" s="663">
        <v>39165032005</v>
      </c>
      <c r="AC2856" s="663" t="s">
        <v>7788</v>
      </c>
      <c r="AD2856" s="663" t="s">
        <v>4938</v>
      </c>
      <c r="AE2856" s="663" t="s">
        <v>4939</v>
      </c>
      <c r="AF2856" s="663" t="s">
        <v>4946</v>
      </c>
    </row>
    <row r="2857" spans="1:32" s="608" customFormat="1" x14ac:dyDescent="0.25">
      <c r="A2857" s="624"/>
      <c r="B2857" s="617">
        <v>39153509000</v>
      </c>
      <c r="C2857" s="617" t="s">
        <v>4525</v>
      </c>
      <c r="D2857" s="617" t="s">
        <v>100</v>
      </c>
      <c r="E2857" s="617" t="s">
        <v>4860</v>
      </c>
      <c r="F2857" s="617" t="s">
        <v>24</v>
      </c>
      <c r="G2857" s="624"/>
      <c r="O2857" s="616"/>
      <c r="P2857" s="616"/>
      <c r="Q2857" s="616"/>
      <c r="AA2857" s="624"/>
      <c r="AB2857" s="663">
        <v>39165032006</v>
      </c>
      <c r="AC2857" s="663" t="s">
        <v>7789</v>
      </c>
      <c r="AD2857" s="663" t="s">
        <v>4938</v>
      </c>
      <c r="AE2857" s="663" t="s">
        <v>4939</v>
      </c>
      <c r="AF2857" s="663" t="s">
        <v>4946</v>
      </c>
    </row>
    <row r="2858" spans="1:32" s="608" customFormat="1" x14ac:dyDescent="0.25">
      <c r="A2858" s="624"/>
      <c r="B2858" s="617">
        <v>39153510100</v>
      </c>
      <c r="C2858" s="617" t="s">
        <v>4526</v>
      </c>
      <c r="D2858" s="617" t="s">
        <v>100</v>
      </c>
      <c r="E2858" s="617" t="s">
        <v>4860</v>
      </c>
      <c r="F2858" s="617" t="s">
        <v>26</v>
      </c>
      <c r="G2858" s="624"/>
      <c r="O2858" s="616"/>
      <c r="P2858" s="616"/>
      <c r="Q2858" s="616"/>
      <c r="AA2858" s="624"/>
      <c r="AB2858" s="663">
        <v>39165032007</v>
      </c>
      <c r="AC2858" s="663" t="s">
        <v>7790</v>
      </c>
      <c r="AD2858" s="663" t="s">
        <v>4938</v>
      </c>
      <c r="AE2858" s="663" t="s">
        <v>4942</v>
      </c>
      <c r="AF2858" s="663" t="s">
        <v>4946</v>
      </c>
    </row>
    <row r="2859" spans="1:32" s="608" customFormat="1" x14ac:dyDescent="0.25">
      <c r="A2859" s="624"/>
      <c r="B2859" s="617">
        <v>39153510200</v>
      </c>
      <c r="C2859" s="617" t="s">
        <v>4527</v>
      </c>
      <c r="D2859" s="617" t="s">
        <v>100</v>
      </c>
      <c r="E2859" s="617" t="s">
        <v>4860</v>
      </c>
      <c r="F2859" s="617" t="s">
        <v>26</v>
      </c>
      <c r="G2859" s="624"/>
      <c r="O2859" s="616"/>
      <c r="P2859" s="616"/>
      <c r="Q2859" s="616"/>
      <c r="AA2859" s="624"/>
      <c r="AB2859" s="663">
        <v>39165032100</v>
      </c>
      <c r="AC2859" s="663" t="s">
        <v>7791</v>
      </c>
      <c r="AD2859" s="663" t="s">
        <v>4948</v>
      </c>
      <c r="AE2859" s="663" t="s">
        <v>5332</v>
      </c>
      <c r="AF2859" s="663" t="s">
        <v>4946</v>
      </c>
    </row>
    <row r="2860" spans="1:32" s="608" customFormat="1" x14ac:dyDescent="0.25">
      <c r="A2860" s="624"/>
      <c r="B2860" s="617">
        <v>39153510301</v>
      </c>
      <c r="C2860" s="617" t="s">
        <v>4528</v>
      </c>
      <c r="D2860" s="617" t="s">
        <v>100</v>
      </c>
      <c r="E2860" s="617" t="s">
        <v>4860</v>
      </c>
      <c r="F2860" s="617" t="s">
        <v>24</v>
      </c>
      <c r="G2860" s="624"/>
      <c r="O2860" s="616"/>
      <c r="P2860" s="616"/>
      <c r="Q2860" s="616"/>
      <c r="AA2860" s="624"/>
      <c r="AB2860" s="663">
        <v>39165032201</v>
      </c>
      <c r="AC2860" s="663" t="s">
        <v>7792</v>
      </c>
      <c r="AD2860" s="663" t="s">
        <v>4941</v>
      </c>
      <c r="AE2860" s="663" t="s">
        <v>4939</v>
      </c>
      <c r="AF2860" s="663" t="s">
        <v>4946</v>
      </c>
    </row>
    <row r="2861" spans="1:32" s="608" customFormat="1" x14ac:dyDescent="0.25">
      <c r="A2861" s="624"/>
      <c r="B2861" s="617">
        <v>39153510302</v>
      </c>
      <c r="C2861" s="617" t="s">
        <v>4529</v>
      </c>
      <c r="D2861" s="617" t="s">
        <v>100</v>
      </c>
      <c r="E2861" s="617" t="s">
        <v>4860</v>
      </c>
      <c r="F2861" s="617" t="s">
        <v>26</v>
      </c>
      <c r="G2861" s="624"/>
      <c r="O2861" s="616"/>
      <c r="P2861" s="616"/>
      <c r="Q2861" s="616"/>
      <c r="AA2861" s="624"/>
      <c r="AB2861" s="663">
        <v>39165032202</v>
      </c>
      <c r="AC2861" s="663" t="s">
        <v>7793</v>
      </c>
      <c r="AD2861" s="663" t="s">
        <v>4938</v>
      </c>
      <c r="AE2861" s="663" t="s">
        <v>4939</v>
      </c>
      <c r="AF2861" s="663" t="s">
        <v>4929</v>
      </c>
    </row>
    <row r="2862" spans="1:32" s="608" customFormat="1" x14ac:dyDescent="0.25">
      <c r="A2862" s="624"/>
      <c r="B2862" s="617">
        <v>39153510400</v>
      </c>
      <c r="C2862" s="617" t="s">
        <v>4530</v>
      </c>
      <c r="D2862" s="617" t="s">
        <v>100</v>
      </c>
      <c r="E2862" s="617" t="s">
        <v>4860</v>
      </c>
      <c r="F2862" s="617" t="s">
        <v>26</v>
      </c>
      <c r="G2862" s="624"/>
      <c r="O2862" s="616"/>
      <c r="P2862" s="616"/>
      <c r="Q2862" s="616"/>
      <c r="AA2862" s="624"/>
      <c r="AB2862" s="663">
        <v>39165032300</v>
      </c>
      <c r="AC2862" s="663" t="s">
        <v>7794</v>
      </c>
      <c r="AD2862" s="663" t="s">
        <v>4941</v>
      </c>
      <c r="AE2862" s="663" t="s">
        <v>4931</v>
      </c>
      <c r="AF2862" s="663" t="s">
        <v>4929</v>
      </c>
    </row>
    <row r="2863" spans="1:32" s="608" customFormat="1" x14ac:dyDescent="0.25">
      <c r="A2863" s="624"/>
      <c r="B2863" s="617">
        <v>39153510500</v>
      </c>
      <c r="C2863" s="617" t="s">
        <v>4531</v>
      </c>
      <c r="D2863" s="617" t="s">
        <v>100</v>
      </c>
      <c r="E2863" s="617" t="s">
        <v>4860</v>
      </c>
      <c r="F2863" s="617" t="s">
        <v>26</v>
      </c>
      <c r="G2863" s="624"/>
      <c r="O2863" s="616"/>
      <c r="P2863" s="616"/>
      <c r="Q2863" s="616"/>
      <c r="AA2863" s="624"/>
      <c r="AB2863" s="663">
        <v>39165032400</v>
      </c>
      <c r="AC2863" s="663" t="s">
        <v>7795</v>
      </c>
      <c r="AD2863" s="663" t="s">
        <v>4941</v>
      </c>
      <c r="AE2863" s="663" t="s">
        <v>4931</v>
      </c>
      <c r="AF2863" s="663" t="s">
        <v>4929</v>
      </c>
    </row>
    <row r="2864" spans="1:32" s="608" customFormat="1" x14ac:dyDescent="0.25">
      <c r="A2864" s="624"/>
      <c r="B2864" s="617">
        <v>39153520103</v>
      </c>
      <c r="C2864" s="617" t="s">
        <v>4532</v>
      </c>
      <c r="D2864" s="617" t="s">
        <v>100</v>
      </c>
      <c r="E2864" s="617" t="s">
        <v>4860</v>
      </c>
      <c r="F2864" s="617" t="s">
        <v>26</v>
      </c>
      <c r="G2864" s="624"/>
      <c r="O2864" s="616"/>
      <c r="P2864" s="616"/>
      <c r="Q2864" s="616"/>
      <c r="AA2864" s="624"/>
      <c r="AB2864" s="663">
        <v>39165032501</v>
      </c>
      <c r="AC2864" s="663" t="s">
        <v>7796</v>
      </c>
      <c r="AD2864" s="663" t="s">
        <v>4950</v>
      </c>
      <c r="AE2864" s="663" t="s">
        <v>4928</v>
      </c>
      <c r="AF2864" s="663" t="s">
        <v>4946</v>
      </c>
    </row>
    <row r="2865" spans="1:32" s="608" customFormat="1" x14ac:dyDescent="0.25">
      <c r="A2865" s="624"/>
      <c r="B2865" s="617">
        <v>39153520104</v>
      </c>
      <c r="C2865" s="617" t="s">
        <v>4533</v>
      </c>
      <c r="D2865" s="617" t="s">
        <v>100</v>
      </c>
      <c r="E2865" s="617" t="s">
        <v>4860</v>
      </c>
      <c r="F2865" s="617" t="s">
        <v>26</v>
      </c>
      <c r="G2865" s="624"/>
      <c r="O2865" s="616"/>
      <c r="P2865" s="616"/>
      <c r="Q2865" s="616"/>
      <c r="AA2865" s="624"/>
      <c r="AB2865" s="663">
        <v>39165032502</v>
      </c>
      <c r="AC2865" s="663" t="s">
        <v>7797</v>
      </c>
      <c r="AD2865" s="663" t="s">
        <v>4927</v>
      </c>
      <c r="AE2865" s="663" t="s">
        <v>4931</v>
      </c>
      <c r="AF2865" s="663" t="s">
        <v>4946</v>
      </c>
    </row>
    <row r="2866" spans="1:32" s="608" customFormat="1" x14ac:dyDescent="0.25">
      <c r="A2866" s="624"/>
      <c r="B2866" s="617">
        <v>39153520105</v>
      </c>
      <c r="C2866" s="617" t="s">
        <v>4534</v>
      </c>
      <c r="D2866" s="617" t="s">
        <v>100</v>
      </c>
      <c r="E2866" s="617" t="s">
        <v>4860</v>
      </c>
      <c r="F2866" s="617" t="s">
        <v>26</v>
      </c>
      <c r="G2866" s="624"/>
      <c r="O2866" s="616"/>
      <c r="P2866" s="616"/>
      <c r="Q2866" s="616"/>
      <c r="AA2866" s="624"/>
      <c r="AB2866" s="663">
        <v>39167020101</v>
      </c>
      <c r="AC2866" s="663" t="s">
        <v>7798</v>
      </c>
      <c r="AD2866" s="663" t="s">
        <v>4948</v>
      </c>
      <c r="AE2866" s="663" t="s">
        <v>4931</v>
      </c>
      <c r="AF2866" s="663" t="s">
        <v>4946</v>
      </c>
    </row>
    <row r="2867" spans="1:32" s="608" customFormat="1" x14ac:dyDescent="0.25">
      <c r="A2867" s="624"/>
      <c r="B2867" s="617">
        <v>39153520106</v>
      </c>
      <c r="C2867" s="617" t="s">
        <v>4535</v>
      </c>
      <c r="D2867" s="617" t="s">
        <v>100</v>
      </c>
      <c r="E2867" s="617" t="s">
        <v>4860</v>
      </c>
      <c r="F2867" s="617" t="s">
        <v>26</v>
      </c>
      <c r="G2867" s="624"/>
      <c r="O2867" s="616"/>
      <c r="P2867" s="616"/>
      <c r="Q2867" s="616"/>
      <c r="AA2867" s="624"/>
      <c r="AB2867" s="663">
        <v>39167020102</v>
      </c>
      <c r="AC2867" s="663" t="s">
        <v>7799</v>
      </c>
      <c r="AD2867" s="663" t="s">
        <v>4950</v>
      </c>
      <c r="AE2867" s="663" t="s">
        <v>4939</v>
      </c>
      <c r="AF2867" s="663" t="s">
        <v>4946</v>
      </c>
    </row>
    <row r="2868" spans="1:32" s="608" customFormat="1" x14ac:dyDescent="0.25">
      <c r="A2868" s="624"/>
      <c r="B2868" s="617">
        <v>39153520201</v>
      </c>
      <c r="C2868" s="617" t="s">
        <v>4536</v>
      </c>
      <c r="D2868" s="617" t="s">
        <v>100</v>
      </c>
      <c r="E2868" s="617" t="s">
        <v>4860</v>
      </c>
      <c r="F2868" s="617" t="s">
        <v>26</v>
      </c>
      <c r="G2868" s="624"/>
      <c r="O2868" s="616"/>
      <c r="P2868" s="616"/>
      <c r="Q2868" s="616"/>
      <c r="AA2868" s="624"/>
      <c r="AB2868" s="663">
        <v>39167020200</v>
      </c>
      <c r="AC2868" s="663" t="s">
        <v>7800</v>
      </c>
      <c r="AD2868" s="663" t="s">
        <v>4948</v>
      </c>
      <c r="AE2868" s="663" t="s">
        <v>4939</v>
      </c>
      <c r="AF2868" s="663" t="s">
        <v>4929</v>
      </c>
    </row>
    <row r="2869" spans="1:32" s="608" customFormat="1" x14ac:dyDescent="0.25">
      <c r="A2869" s="624"/>
      <c r="B2869" s="617">
        <v>39153520202</v>
      </c>
      <c r="C2869" s="617" t="s">
        <v>4537</v>
      </c>
      <c r="D2869" s="617" t="s">
        <v>100</v>
      </c>
      <c r="E2869" s="617" t="s">
        <v>4860</v>
      </c>
      <c r="F2869" s="617" t="s">
        <v>26</v>
      </c>
      <c r="G2869" s="624"/>
      <c r="O2869" s="616"/>
      <c r="P2869" s="616"/>
      <c r="Q2869" s="616"/>
      <c r="AA2869" s="624"/>
      <c r="AB2869" s="663">
        <v>39167020300</v>
      </c>
      <c r="AC2869" s="663" t="s">
        <v>7801</v>
      </c>
      <c r="AD2869" s="663" t="s">
        <v>4950</v>
      </c>
      <c r="AE2869" s="663" t="s">
        <v>4931</v>
      </c>
      <c r="AF2869" s="663" t="s">
        <v>4929</v>
      </c>
    </row>
    <row r="2870" spans="1:32" s="608" customFormat="1" x14ac:dyDescent="0.25">
      <c r="A2870" s="624"/>
      <c r="B2870" s="617">
        <v>39153520301</v>
      </c>
      <c r="C2870" s="617" t="s">
        <v>4538</v>
      </c>
      <c r="D2870" s="617" t="s">
        <v>100</v>
      </c>
      <c r="E2870" s="617" t="s">
        <v>4860</v>
      </c>
      <c r="F2870" s="617" t="s">
        <v>26</v>
      </c>
      <c r="G2870" s="624"/>
      <c r="O2870" s="616"/>
      <c r="P2870" s="616"/>
      <c r="Q2870" s="616"/>
      <c r="AA2870" s="624"/>
      <c r="AB2870" s="663">
        <v>39167020400</v>
      </c>
      <c r="AC2870" s="663" t="s">
        <v>7802</v>
      </c>
      <c r="AD2870" s="663" t="s">
        <v>4948</v>
      </c>
      <c r="AE2870" s="663" t="s">
        <v>4934</v>
      </c>
      <c r="AF2870" s="663" t="s">
        <v>4929</v>
      </c>
    </row>
    <row r="2871" spans="1:32" s="608" customFormat="1" x14ac:dyDescent="0.25">
      <c r="A2871" s="624"/>
      <c r="B2871" s="617">
        <v>39153520302</v>
      </c>
      <c r="C2871" s="617" t="s">
        <v>4539</v>
      </c>
      <c r="D2871" s="617" t="s">
        <v>100</v>
      </c>
      <c r="E2871" s="617" t="s">
        <v>4860</v>
      </c>
      <c r="F2871" s="617" t="s">
        <v>26</v>
      </c>
      <c r="G2871" s="624"/>
      <c r="O2871" s="616"/>
      <c r="P2871" s="616"/>
      <c r="Q2871" s="616"/>
      <c r="AA2871" s="624"/>
      <c r="AB2871" s="663">
        <v>39167020500</v>
      </c>
      <c r="AC2871" s="663" t="s">
        <v>7803</v>
      </c>
      <c r="AD2871" s="663" t="s">
        <v>4950</v>
      </c>
      <c r="AE2871" s="663" t="s">
        <v>4942</v>
      </c>
      <c r="AF2871" s="663" t="s">
        <v>4983</v>
      </c>
    </row>
    <row r="2872" spans="1:32" s="608" customFormat="1" x14ac:dyDescent="0.25">
      <c r="A2872" s="624"/>
      <c r="B2872" s="617">
        <v>39153520400</v>
      </c>
      <c r="C2872" s="617" t="s">
        <v>4540</v>
      </c>
      <c r="D2872" s="617" t="s">
        <v>100</v>
      </c>
      <c r="E2872" s="617" t="s">
        <v>4860</v>
      </c>
      <c r="F2872" s="617" t="s">
        <v>26</v>
      </c>
      <c r="G2872" s="624"/>
      <c r="O2872" s="616"/>
      <c r="P2872" s="616"/>
      <c r="Q2872" s="616"/>
      <c r="AA2872" s="624"/>
      <c r="AB2872" s="663">
        <v>39167020800</v>
      </c>
      <c r="AC2872" s="663" t="s">
        <v>7804</v>
      </c>
      <c r="AD2872" s="663" t="s">
        <v>4941</v>
      </c>
      <c r="AE2872" s="663" t="s">
        <v>4931</v>
      </c>
      <c r="AF2872" s="663" t="s">
        <v>4983</v>
      </c>
    </row>
    <row r="2873" spans="1:32" s="608" customFormat="1" x14ac:dyDescent="0.25">
      <c r="A2873" s="624"/>
      <c r="B2873" s="617">
        <v>39153520500</v>
      </c>
      <c r="C2873" s="617" t="s">
        <v>4541</v>
      </c>
      <c r="D2873" s="617" t="s">
        <v>100</v>
      </c>
      <c r="E2873" s="617" t="s">
        <v>4860</v>
      </c>
      <c r="F2873" s="617" t="s">
        <v>26</v>
      </c>
      <c r="G2873" s="624"/>
      <c r="O2873" s="616"/>
      <c r="P2873" s="616"/>
      <c r="Q2873" s="616"/>
      <c r="AA2873" s="624"/>
      <c r="AB2873" s="663">
        <v>39167020900</v>
      </c>
      <c r="AC2873" s="663" t="s">
        <v>7805</v>
      </c>
      <c r="AD2873" s="663" t="s">
        <v>4948</v>
      </c>
      <c r="AE2873" s="663" t="s">
        <v>4934</v>
      </c>
      <c r="AF2873" s="663" t="s">
        <v>4929</v>
      </c>
    </row>
    <row r="2874" spans="1:32" s="608" customFormat="1" x14ac:dyDescent="0.25">
      <c r="A2874" s="624"/>
      <c r="B2874" s="617">
        <v>39153520600</v>
      </c>
      <c r="C2874" s="617" t="s">
        <v>4542</v>
      </c>
      <c r="D2874" s="617" t="s">
        <v>100</v>
      </c>
      <c r="E2874" s="617" t="s">
        <v>4860</v>
      </c>
      <c r="F2874" s="617" t="s">
        <v>26</v>
      </c>
      <c r="G2874" s="624"/>
      <c r="O2874" s="616"/>
      <c r="P2874" s="616"/>
      <c r="Q2874" s="616"/>
      <c r="AA2874" s="624"/>
      <c r="AB2874" s="663">
        <v>39167021000</v>
      </c>
      <c r="AC2874" s="663" t="s">
        <v>7806</v>
      </c>
      <c r="AD2874" s="663" t="s">
        <v>4950</v>
      </c>
      <c r="AE2874" s="663" t="s">
        <v>4934</v>
      </c>
      <c r="AF2874" s="663" t="s">
        <v>4929</v>
      </c>
    </row>
    <row r="2875" spans="1:32" s="608" customFormat="1" x14ac:dyDescent="0.25">
      <c r="A2875" s="624"/>
      <c r="B2875" s="617">
        <v>39153530101</v>
      </c>
      <c r="C2875" s="617" t="s">
        <v>4543</v>
      </c>
      <c r="D2875" s="617" t="s">
        <v>100</v>
      </c>
      <c r="E2875" s="617" t="s">
        <v>4860</v>
      </c>
      <c r="F2875" s="617" t="s">
        <v>26</v>
      </c>
      <c r="G2875" s="624"/>
      <c r="O2875" s="616"/>
      <c r="P2875" s="616"/>
      <c r="Q2875" s="616"/>
      <c r="AA2875" s="624"/>
      <c r="AB2875" s="663">
        <v>39167021100</v>
      </c>
      <c r="AC2875" s="663" t="s">
        <v>7807</v>
      </c>
      <c r="AD2875" s="663" t="s">
        <v>4948</v>
      </c>
      <c r="AE2875" s="663" t="s">
        <v>4942</v>
      </c>
      <c r="AF2875" s="663" t="s">
        <v>4929</v>
      </c>
    </row>
    <row r="2876" spans="1:32" s="608" customFormat="1" x14ac:dyDescent="0.25">
      <c r="A2876" s="624"/>
      <c r="B2876" s="617">
        <v>39153530103</v>
      </c>
      <c r="C2876" s="617" t="s">
        <v>4544</v>
      </c>
      <c r="D2876" s="617" t="s">
        <v>100</v>
      </c>
      <c r="E2876" s="617" t="s">
        <v>4860</v>
      </c>
      <c r="F2876" s="617" t="s">
        <v>26</v>
      </c>
      <c r="G2876" s="624"/>
      <c r="O2876" s="616"/>
      <c r="P2876" s="616"/>
      <c r="Q2876" s="616"/>
      <c r="AA2876" s="624"/>
      <c r="AB2876" s="663">
        <v>39167021200</v>
      </c>
      <c r="AC2876" s="663" t="s">
        <v>7808</v>
      </c>
      <c r="AD2876" s="663" t="s">
        <v>4927</v>
      </c>
      <c r="AE2876" s="663" t="s">
        <v>4934</v>
      </c>
      <c r="AF2876" s="663" t="s">
        <v>4929</v>
      </c>
    </row>
    <row r="2877" spans="1:32" s="608" customFormat="1" x14ac:dyDescent="0.25">
      <c r="A2877" s="624"/>
      <c r="B2877" s="617">
        <v>39153530104</v>
      </c>
      <c r="C2877" s="617" t="s">
        <v>4545</v>
      </c>
      <c r="D2877" s="617" t="s">
        <v>100</v>
      </c>
      <c r="E2877" s="617" t="s">
        <v>4860</v>
      </c>
      <c r="F2877" s="617" t="s">
        <v>26</v>
      </c>
      <c r="G2877" s="624"/>
      <c r="O2877" s="616"/>
      <c r="P2877" s="616"/>
      <c r="Q2877" s="616"/>
      <c r="AA2877" s="624"/>
      <c r="AB2877" s="663">
        <v>39167021300</v>
      </c>
      <c r="AC2877" s="663" t="s">
        <v>7809</v>
      </c>
      <c r="AD2877" s="663" t="s">
        <v>4950</v>
      </c>
      <c r="AE2877" s="663" t="s">
        <v>4928</v>
      </c>
      <c r="AF2877" s="663" t="s">
        <v>4929</v>
      </c>
    </row>
    <row r="2878" spans="1:32" s="608" customFormat="1" x14ac:dyDescent="0.25">
      <c r="A2878" s="624"/>
      <c r="B2878" s="617">
        <v>39153530105</v>
      </c>
      <c r="C2878" s="617" t="s">
        <v>4546</v>
      </c>
      <c r="D2878" s="617" t="s">
        <v>100</v>
      </c>
      <c r="E2878" s="617" t="s">
        <v>4860</v>
      </c>
      <c r="F2878" s="617" t="s">
        <v>26</v>
      </c>
      <c r="G2878" s="624"/>
      <c r="O2878" s="616"/>
      <c r="P2878" s="616"/>
      <c r="Q2878" s="616"/>
      <c r="AA2878" s="624"/>
      <c r="AB2878" s="663">
        <v>39167021400</v>
      </c>
      <c r="AC2878" s="663" t="s">
        <v>7810</v>
      </c>
      <c r="AD2878" s="663" t="s">
        <v>4938</v>
      </c>
      <c r="AE2878" s="663" t="s">
        <v>4934</v>
      </c>
      <c r="AF2878" s="663" t="s">
        <v>4929</v>
      </c>
    </row>
    <row r="2879" spans="1:32" s="608" customFormat="1" x14ac:dyDescent="0.25">
      <c r="A2879" s="624"/>
      <c r="B2879" s="617">
        <v>39153530108</v>
      </c>
      <c r="C2879" s="617" t="s">
        <v>4547</v>
      </c>
      <c r="D2879" s="617" t="s">
        <v>100</v>
      </c>
      <c r="E2879" s="617" t="s">
        <v>4860</v>
      </c>
      <c r="F2879" s="617" t="s">
        <v>26</v>
      </c>
      <c r="G2879" s="624"/>
      <c r="O2879" s="616"/>
      <c r="P2879" s="616"/>
      <c r="Q2879" s="616"/>
      <c r="AA2879" s="624"/>
      <c r="AB2879" s="663">
        <v>39167021500</v>
      </c>
      <c r="AC2879" s="663" t="s">
        <v>7811</v>
      </c>
      <c r="AD2879" s="663" t="s">
        <v>4941</v>
      </c>
      <c r="AE2879" s="663" t="s">
        <v>4942</v>
      </c>
      <c r="AF2879" s="663" t="s">
        <v>4929</v>
      </c>
    </row>
    <row r="2880" spans="1:32" s="608" customFormat="1" x14ac:dyDescent="0.25">
      <c r="A2880" s="624"/>
      <c r="B2880" s="617">
        <v>39153530401</v>
      </c>
      <c r="C2880" s="617" t="s">
        <v>4548</v>
      </c>
      <c r="D2880" s="617" t="s">
        <v>100</v>
      </c>
      <c r="E2880" s="617" t="s">
        <v>4860</v>
      </c>
      <c r="F2880" s="617" t="s">
        <v>26</v>
      </c>
      <c r="G2880" s="624"/>
      <c r="O2880" s="616"/>
      <c r="P2880" s="616"/>
      <c r="Q2880" s="616"/>
      <c r="AA2880" s="624"/>
      <c r="AB2880" s="663">
        <v>39167021600</v>
      </c>
      <c r="AC2880" s="663" t="s">
        <v>7812</v>
      </c>
      <c r="AD2880" s="663" t="s">
        <v>4950</v>
      </c>
      <c r="AE2880" s="663" t="s">
        <v>4942</v>
      </c>
      <c r="AF2880" s="663" t="s">
        <v>4929</v>
      </c>
    </row>
    <row r="2881" spans="1:32" s="608" customFormat="1" x14ac:dyDescent="0.25">
      <c r="A2881" s="624"/>
      <c r="B2881" s="617">
        <v>39153530402</v>
      </c>
      <c r="C2881" s="617" t="s">
        <v>4549</v>
      </c>
      <c r="D2881" s="617" t="s">
        <v>100</v>
      </c>
      <c r="E2881" s="617" t="s">
        <v>4860</v>
      </c>
      <c r="F2881" s="617" t="s">
        <v>26</v>
      </c>
      <c r="G2881" s="624"/>
      <c r="O2881" s="616"/>
      <c r="P2881" s="616"/>
      <c r="Q2881" s="616"/>
      <c r="AA2881" s="624"/>
      <c r="AB2881" s="663">
        <v>39167021700</v>
      </c>
      <c r="AC2881" s="663" t="s">
        <v>7813</v>
      </c>
      <c r="AD2881" s="663" t="s">
        <v>4950</v>
      </c>
      <c r="AE2881" s="663" t="s">
        <v>4942</v>
      </c>
      <c r="AF2881" s="663" t="s">
        <v>4929</v>
      </c>
    </row>
    <row r="2882" spans="1:32" s="608" customFormat="1" x14ac:dyDescent="0.25">
      <c r="A2882" s="624"/>
      <c r="B2882" s="617">
        <v>39153530501</v>
      </c>
      <c r="C2882" s="617" t="s">
        <v>4550</v>
      </c>
      <c r="D2882" s="617" t="s">
        <v>100</v>
      </c>
      <c r="E2882" s="617" t="s">
        <v>4860</v>
      </c>
      <c r="F2882" s="617" t="s">
        <v>26</v>
      </c>
      <c r="G2882" s="624"/>
      <c r="O2882" s="616"/>
      <c r="P2882" s="616"/>
      <c r="Q2882" s="616"/>
      <c r="AA2882" s="624"/>
      <c r="AB2882" s="663">
        <v>39169000100</v>
      </c>
      <c r="AC2882" s="663" t="s">
        <v>7814</v>
      </c>
      <c r="AD2882" s="663" t="s">
        <v>4950</v>
      </c>
      <c r="AE2882" s="663" t="s">
        <v>4942</v>
      </c>
      <c r="AF2882" s="663" t="s">
        <v>4983</v>
      </c>
    </row>
    <row r="2883" spans="1:32" s="608" customFormat="1" x14ac:dyDescent="0.25">
      <c r="A2883" s="624"/>
      <c r="B2883" s="617">
        <v>39153530502</v>
      </c>
      <c r="C2883" s="617" t="s">
        <v>4551</v>
      </c>
      <c r="D2883" s="617" t="s">
        <v>100</v>
      </c>
      <c r="E2883" s="617" t="s">
        <v>4860</v>
      </c>
      <c r="F2883" s="617" t="s">
        <v>26</v>
      </c>
      <c r="G2883" s="624"/>
      <c r="O2883" s="616"/>
      <c r="P2883" s="616"/>
      <c r="Q2883" s="616"/>
      <c r="AA2883" s="624"/>
      <c r="AB2883" s="663">
        <v>39169000200</v>
      </c>
      <c r="AC2883" s="663" t="s">
        <v>7815</v>
      </c>
      <c r="AD2883" s="663" t="s">
        <v>4938</v>
      </c>
      <c r="AE2883" s="663" t="s">
        <v>4928</v>
      </c>
      <c r="AF2883" s="663" t="s">
        <v>4983</v>
      </c>
    </row>
    <row r="2884" spans="1:32" s="608" customFormat="1" x14ac:dyDescent="0.25">
      <c r="A2884" s="624"/>
      <c r="B2884" s="617">
        <v>39153530603</v>
      </c>
      <c r="C2884" s="617" t="s">
        <v>4552</v>
      </c>
      <c r="D2884" s="617" t="s">
        <v>100</v>
      </c>
      <c r="E2884" s="617" t="s">
        <v>4860</v>
      </c>
      <c r="F2884" s="617" t="s">
        <v>26</v>
      </c>
      <c r="G2884" s="624"/>
      <c r="O2884" s="616"/>
      <c r="P2884" s="616"/>
      <c r="Q2884" s="616"/>
      <c r="AA2884" s="624"/>
      <c r="AB2884" s="663">
        <v>39169000300</v>
      </c>
      <c r="AC2884" s="663" t="s">
        <v>7816</v>
      </c>
      <c r="AD2884" s="663" t="s">
        <v>4938</v>
      </c>
      <c r="AE2884" s="663" t="s">
        <v>4931</v>
      </c>
      <c r="AF2884" s="663" t="s">
        <v>4929</v>
      </c>
    </row>
    <row r="2885" spans="1:32" s="608" customFormat="1" x14ac:dyDescent="0.25">
      <c r="A2885" s="624"/>
      <c r="B2885" s="617">
        <v>39153530604</v>
      </c>
      <c r="C2885" s="617" t="s">
        <v>4553</v>
      </c>
      <c r="D2885" s="617" t="s">
        <v>100</v>
      </c>
      <c r="E2885" s="617" t="s">
        <v>4860</v>
      </c>
      <c r="F2885" s="617" t="s">
        <v>26</v>
      </c>
      <c r="G2885" s="624"/>
      <c r="O2885" s="616"/>
      <c r="P2885" s="616"/>
      <c r="Q2885" s="616"/>
      <c r="AA2885" s="624"/>
      <c r="AB2885" s="663">
        <v>39169000500</v>
      </c>
      <c r="AC2885" s="663" t="s">
        <v>7817</v>
      </c>
      <c r="AD2885" s="663" t="s">
        <v>4927</v>
      </c>
      <c r="AE2885" s="663" t="s">
        <v>4934</v>
      </c>
      <c r="AF2885" s="663" t="s">
        <v>4929</v>
      </c>
    </row>
    <row r="2886" spans="1:32" s="608" customFormat="1" x14ac:dyDescent="0.25">
      <c r="A2886" s="624"/>
      <c r="B2886" s="617">
        <v>39153530605</v>
      </c>
      <c r="C2886" s="617" t="s">
        <v>4554</v>
      </c>
      <c r="D2886" s="617" t="s">
        <v>100</v>
      </c>
      <c r="E2886" s="617" t="s">
        <v>4860</v>
      </c>
      <c r="F2886" s="617" t="s">
        <v>26</v>
      </c>
      <c r="G2886" s="624"/>
      <c r="O2886" s="616"/>
      <c r="P2886" s="616"/>
      <c r="Q2886" s="616"/>
      <c r="AA2886" s="624"/>
      <c r="AB2886" s="663">
        <v>39169000600</v>
      </c>
      <c r="AC2886" s="663" t="s">
        <v>7818</v>
      </c>
      <c r="AD2886" s="663" t="s">
        <v>4941</v>
      </c>
      <c r="AE2886" s="663" t="s">
        <v>4939</v>
      </c>
      <c r="AF2886" s="663" t="s">
        <v>4929</v>
      </c>
    </row>
    <row r="2887" spans="1:32" s="608" customFormat="1" x14ac:dyDescent="0.25">
      <c r="A2887" s="624"/>
      <c r="B2887" s="617">
        <v>39153530606</v>
      </c>
      <c r="C2887" s="617" t="s">
        <v>4555</v>
      </c>
      <c r="D2887" s="617" t="s">
        <v>100</v>
      </c>
      <c r="E2887" s="617" t="s">
        <v>4860</v>
      </c>
      <c r="F2887" s="617" t="s">
        <v>26</v>
      </c>
      <c r="G2887" s="624"/>
      <c r="O2887" s="616"/>
      <c r="P2887" s="616"/>
      <c r="Q2887" s="616"/>
      <c r="AA2887" s="624"/>
      <c r="AB2887" s="663">
        <v>39169000700</v>
      </c>
      <c r="AC2887" s="663" t="s">
        <v>7819</v>
      </c>
      <c r="AD2887" s="663" t="s">
        <v>4938</v>
      </c>
      <c r="AE2887" s="663" t="s">
        <v>4942</v>
      </c>
      <c r="AF2887" s="663" t="s">
        <v>4929</v>
      </c>
    </row>
    <row r="2888" spans="1:32" s="608" customFormat="1" x14ac:dyDescent="0.25">
      <c r="A2888" s="624"/>
      <c r="B2888" s="617">
        <v>39153530700</v>
      </c>
      <c r="C2888" s="617" t="s">
        <v>4556</v>
      </c>
      <c r="D2888" s="617" t="s">
        <v>100</v>
      </c>
      <c r="E2888" s="617" t="s">
        <v>4860</v>
      </c>
      <c r="F2888" s="617" t="s">
        <v>26</v>
      </c>
      <c r="G2888" s="624"/>
      <c r="O2888" s="616"/>
      <c r="P2888" s="616"/>
      <c r="Q2888" s="616"/>
      <c r="AA2888" s="624"/>
      <c r="AB2888" s="663">
        <v>39169000800</v>
      </c>
      <c r="AC2888" s="663" t="s">
        <v>7820</v>
      </c>
      <c r="AD2888" s="663" t="s">
        <v>4938</v>
      </c>
      <c r="AE2888" s="663" t="s">
        <v>4942</v>
      </c>
      <c r="AF2888" s="663" t="s">
        <v>4929</v>
      </c>
    </row>
    <row r="2889" spans="1:32" s="608" customFormat="1" x14ac:dyDescent="0.25">
      <c r="A2889" s="624"/>
      <c r="B2889" s="617">
        <v>39153530800</v>
      </c>
      <c r="C2889" s="617" t="s">
        <v>4557</v>
      </c>
      <c r="D2889" s="617" t="s">
        <v>100</v>
      </c>
      <c r="E2889" s="617" t="s">
        <v>4860</v>
      </c>
      <c r="F2889" s="617" t="s">
        <v>26</v>
      </c>
      <c r="G2889" s="624"/>
      <c r="O2889" s="616"/>
      <c r="P2889" s="616"/>
      <c r="Q2889" s="616"/>
      <c r="AA2889" s="624"/>
      <c r="AB2889" s="663">
        <v>39169000900</v>
      </c>
      <c r="AC2889" s="663" t="s">
        <v>7821</v>
      </c>
      <c r="AD2889" s="663" t="s">
        <v>4941</v>
      </c>
      <c r="AE2889" s="663" t="s">
        <v>4931</v>
      </c>
      <c r="AF2889" s="663" t="s">
        <v>4929</v>
      </c>
    </row>
    <row r="2890" spans="1:32" s="608" customFormat="1" x14ac:dyDescent="0.25">
      <c r="A2890" s="624"/>
      <c r="B2890" s="617">
        <v>39153530901</v>
      </c>
      <c r="C2890" s="617" t="s">
        <v>4558</v>
      </c>
      <c r="D2890" s="617" t="s">
        <v>100</v>
      </c>
      <c r="E2890" s="617" t="s">
        <v>4860</v>
      </c>
      <c r="F2890" s="617" t="s">
        <v>26</v>
      </c>
      <c r="G2890" s="624"/>
      <c r="O2890" s="616"/>
      <c r="P2890" s="616"/>
      <c r="Q2890" s="616"/>
      <c r="AA2890" s="624"/>
      <c r="AB2890" s="663">
        <v>39169001000</v>
      </c>
      <c r="AC2890" s="663" t="s">
        <v>7822</v>
      </c>
      <c r="AD2890" s="663" t="s">
        <v>4941</v>
      </c>
      <c r="AE2890" s="663" t="s">
        <v>4928</v>
      </c>
      <c r="AF2890" s="663" t="s">
        <v>4929</v>
      </c>
    </row>
    <row r="2891" spans="1:32" s="608" customFormat="1" x14ac:dyDescent="0.25">
      <c r="A2891" s="624"/>
      <c r="B2891" s="617">
        <v>39153530902</v>
      </c>
      <c r="C2891" s="617" t="s">
        <v>4559</v>
      </c>
      <c r="D2891" s="617" t="s">
        <v>100</v>
      </c>
      <c r="E2891" s="617" t="s">
        <v>4860</v>
      </c>
      <c r="F2891" s="617" t="s">
        <v>26</v>
      </c>
      <c r="G2891" s="624"/>
      <c r="O2891" s="616"/>
      <c r="P2891" s="616"/>
      <c r="Q2891" s="616"/>
      <c r="AA2891" s="624"/>
      <c r="AB2891" s="663">
        <v>39169001100</v>
      </c>
      <c r="AC2891" s="663" t="s">
        <v>7823</v>
      </c>
      <c r="AD2891" s="663" t="s">
        <v>4938</v>
      </c>
      <c r="AE2891" s="663" t="s">
        <v>4931</v>
      </c>
      <c r="AF2891" s="663" t="s">
        <v>4929</v>
      </c>
    </row>
    <row r="2892" spans="1:32" s="608" customFormat="1" x14ac:dyDescent="0.25">
      <c r="A2892" s="624"/>
      <c r="B2892" s="617">
        <v>39153530903</v>
      </c>
      <c r="C2892" s="617" t="s">
        <v>4560</v>
      </c>
      <c r="D2892" s="617" t="s">
        <v>100</v>
      </c>
      <c r="E2892" s="617" t="s">
        <v>4860</v>
      </c>
      <c r="F2892" s="617" t="s">
        <v>26</v>
      </c>
      <c r="G2892" s="624"/>
      <c r="O2892" s="616"/>
      <c r="P2892" s="616"/>
      <c r="Q2892" s="616"/>
      <c r="AA2892" s="624"/>
      <c r="AB2892" s="663">
        <v>39169001200</v>
      </c>
      <c r="AC2892" s="663" t="s">
        <v>7824</v>
      </c>
      <c r="AD2892" s="663" t="s">
        <v>4948</v>
      </c>
      <c r="AE2892" s="663" t="s">
        <v>4939</v>
      </c>
      <c r="AF2892" s="663" t="s">
        <v>4983</v>
      </c>
    </row>
    <row r="2893" spans="1:32" s="608" customFormat="1" x14ac:dyDescent="0.25">
      <c r="A2893" s="624"/>
      <c r="B2893" s="617">
        <v>39153531001</v>
      </c>
      <c r="C2893" s="617" t="s">
        <v>4561</v>
      </c>
      <c r="D2893" s="617" t="s">
        <v>100</v>
      </c>
      <c r="E2893" s="617" t="s">
        <v>4860</v>
      </c>
      <c r="F2893" s="617" t="s">
        <v>26</v>
      </c>
      <c r="G2893" s="624"/>
      <c r="O2893" s="616"/>
      <c r="P2893" s="616"/>
      <c r="Q2893" s="616"/>
      <c r="AA2893" s="624"/>
      <c r="AB2893" s="663">
        <v>39169001300</v>
      </c>
      <c r="AC2893" s="663" t="s">
        <v>7825</v>
      </c>
      <c r="AD2893" s="663" t="s">
        <v>4941</v>
      </c>
      <c r="AE2893" s="663" t="s">
        <v>4939</v>
      </c>
      <c r="AF2893" s="663" t="s">
        <v>4929</v>
      </c>
    </row>
    <row r="2894" spans="1:32" s="608" customFormat="1" x14ac:dyDescent="0.25">
      <c r="A2894" s="624"/>
      <c r="B2894" s="617">
        <v>39153531002</v>
      </c>
      <c r="C2894" s="617" t="s">
        <v>4562</v>
      </c>
      <c r="D2894" s="617" t="s">
        <v>100</v>
      </c>
      <c r="E2894" s="617" t="s">
        <v>4860</v>
      </c>
      <c r="F2894" s="617" t="s">
        <v>26</v>
      </c>
      <c r="G2894" s="624"/>
      <c r="O2894" s="616"/>
      <c r="P2894" s="616"/>
      <c r="Q2894" s="616"/>
      <c r="AA2894" s="624"/>
      <c r="AB2894" s="663">
        <v>39169001400</v>
      </c>
      <c r="AC2894" s="663" t="s">
        <v>7826</v>
      </c>
      <c r="AD2894" s="663" t="s">
        <v>4948</v>
      </c>
      <c r="AE2894" s="663" t="s">
        <v>4939</v>
      </c>
      <c r="AF2894" s="663" t="s">
        <v>4929</v>
      </c>
    </row>
    <row r="2895" spans="1:32" s="608" customFormat="1" x14ac:dyDescent="0.25">
      <c r="A2895" s="624"/>
      <c r="B2895" s="617">
        <v>39153531101</v>
      </c>
      <c r="C2895" s="617" t="s">
        <v>4563</v>
      </c>
      <c r="D2895" s="617" t="s">
        <v>100</v>
      </c>
      <c r="E2895" s="617" t="s">
        <v>4860</v>
      </c>
      <c r="F2895" s="617" t="s">
        <v>26</v>
      </c>
      <c r="G2895" s="624"/>
      <c r="O2895" s="616"/>
      <c r="P2895" s="616"/>
      <c r="Q2895" s="616"/>
      <c r="AA2895" s="624"/>
      <c r="AB2895" s="663">
        <v>39169001700</v>
      </c>
      <c r="AC2895" s="663" t="s">
        <v>7827</v>
      </c>
      <c r="AD2895" s="663" t="s">
        <v>4950</v>
      </c>
      <c r="AE2895" s="663" t="s">
        <v>4931</v>
      </c>
      <c r="AF2895" s="663" t="s">
        <v>4929</v>
      </c>
    </row>
    <row r="2896" spans="1:32" s="608" customFormat="1" x14ac:dyDescent="0.25">
      <c r="A2896" s="624"/>
      <c r="B2896" s="617">
        <v>39153531102</v>
      </c>
      <c r="C2896" s="617" t="s">
        <v>4564</v>
      </c>
      <c r="D2896" s="617" t="s">
        <v>100</v>
      </c>
      <c r="E2896" s="617" t="s">
        <v>4860</v>
      </c>
      <c r="F2896" s="617" t="s">
        <v>26</v>
      </c>
      <c r="G2896" s="624"/>
      <c r="O2896" s="616"/>
      <c r="P2896" s="616"/>
      <c r="Q2896" s="616"/>
      <c r="AA2896" s="624"/>
      <c r="AB2896" s="663">
        <v>39169001800</v>
      </c>
      <c r="AC2896" s="663" t="s">
        <v>7828</v>
      </c>
      <c r="AD2896" s="663" t="s">
        <v>4948</v>
      </c>
      <c r="AE2896" s="663" t="s">
        <v>4942</v>
      </c>
      <c r="AF2896" s="663" t="s">
        <v>4929</v>
      </c>
    </row>
    <row r="2897" spans="1:32" s="608" customFormat="1" x14ac:dyDescent="0.25">
      <c r="A2897" s="624"/>
      <c r="B2897" s="617">
        <v>39153531103</v>
      </c>
      <c r="C2897" s="617" t="s">
        <v>4565</v>
      </c>
      <c r="D2897" s="617" t="s">
        <v>100</v>
      </c>
      <c r="E2897" s="617" t="s">
        <v>4860</v>
      </c>
      <c r="F2897" s="617" t="s">
        <v>26</v>
      </c>
      <c r="G2897" s="624"/>
      <c r="O2897" s="616"/>
      <c r="P2897" s="616"/>
      <c r="Q2897" s="616"/>
      <c r="AA2897" s="624"/>
      <c r="AB2897" s="663">
        <v>39169001900</v>
      </c>
      <c r="AC2897" s="663" t="s">
        <v>7829</v>
      </c>
      <c r="AD2897" s="663" t="s">
        <v>4950</v>
      </c>
      <c r="AE2897" s="663" t="s">
        <v>4928</v>
      </c>
      <c r="AF2897" s="663" t="s">
        <v>4929</v>
      </c>
    </row>
    <row r="2898" spans="1:32" s="608" customFormat="1" x14ac:dyDescent="0.25">
      <c r="A2898" s="624"/>
      <c r="B2898" s="617">
        <v>39153531405</v>
      </c>
      <c r="C2898" s="617" t="s">
        <v>4566</v>
      </c>
      <c r="D2898" s="617" t="s">
        <v>100</v>
      </c>
      <c r="E2898" s="617" t="s">
        <v>4860</v>
      </c>
      <c r="F2898" s="617" t="s">
        <v>26</v>
      </c>
      <c r="G2898" s="624"/>
      <c r="O2898" s="616"/>
      <c r="P2898" s="616"/>
      <c r="Q2898" s="616"/>
      <c r="AA2898" s="624"/>
      <c r="AB2898" s="663">
        <v>39169002000</v>
      </c>
      <c r="AC2898" s="663" t="s">
        <v>7830</v>
      </c>
      <c r="AD2898" s="663" t="s">
        <v>4941</v>
      </c>
      <c r="AE2898" s="663" t="s">
        <v>4928</v>
      </c>
      <c r="AF2898" s="663" t="s">
        <v>4929</v>
      </c>
    </row>
    <row r="2899" spans="1:32" s="608" customFormat="1" x14ac:dyDescent="0.25">
      <c r="A2899" s="624"/>
      <c r="B2899" s="617">
        <v>39153531406</v>
      </c>
      <c r="C2899" s="617" t="s">
        <v>4567</v>
      </c>
      <c r="D2899" s="617" t="s">
        <v>100</v>
      </c>
      <c r="E2899" s="617" t="s">
        <v>4860</v>
      </c>
      <c r="F2899" s="617" t="s">
        <v>26</v>
      </c>
      <c r="G2899" s="624"/>
      <c r="O2899" s="616"/>
      <c r="P2899" s="616"/>
      <c r="Q2899" s="616"/>
      <c r="AA2899" s="624"/>
      <c r="AB2899" s="663">
        <v>39169002100</v>
      </c>
      <c r="AC2899" s="663" t="s">
        <v>7831</v>
      </c>
      <c r="AD2899" s="663" t="s">
        <v>4948</v>
      </c>
      <c r="AE2899" s="663" t="s">
        <v>4934</v>
      </c>
      <c r="AF2899" s="663" t="s">
        <v>4929</v>
      </c>
    </row>
    <row r="2900" spans="1:32" s="608" customFormat="1" x14ac:dyDescent="0.25">
      <c r="A2900" s="624"/>
      <c r="B2900" s="617">
        <v>39153531407</v>
      </c>
      <c r="C2900" s="617" t="s">
        <v>4568</v>
      </c>
      <c r="D2900" s="617" t="s">
        <v>100</v>
      </c>
      <c r="E2900" s="617" t="s">
        <v>4860</v>
      </c>
      <c r="F2900" s="617" t="s">
        <v>26</v>
      </c>
      <c r="G2900" s="624"/>
      <c r="O2900" s="616"/>
      <c r="P2900" s="616"/>
      <c r="Q2900" s="616"/>
      <c r="AA2900" s="624"/>
      <c r="AB2900" s="663">
        <v>39169002200</v>
      </c>
      <c r="AC2900" s="663" t="s">
        <v>7832</v>
      </c>
      <c r="AD2900" s="663" t="s">
        <v>4950</v>
      </c>
      <c r="AE2900" s="663" t="s">
        <v>4934</v>
      </c>
      <c r="AF2900" s="663" t="s">
        <v>4929</v>
      </c>
    </row>
    <row r="2901" spans="1:32" s="608" customFormat="1" x14ac:dyDescent="0.25">
      <c r="A2901" s="624"/>
      <c r="B2901" s="617">
        <v>39153531501</v>
      </c>
      <c r="C2901" s="617" t="s">
        <v>4569</v>
      </c>
      <c r="D2901" s="617" t="s">
        <v>100</v>
      </c>
      <c r="E2901" s="617" t="s">
        <v>4860</v>
      </c>
      <c r="F2901" s="617" t="s">
        <v>26</v>
      </c>
      <c r="G2901" s="624"/>
      <c r="O2901" s="616"/>
      <c r="P2901" s="616"/>
      <c r="Q2901" s="616"/>
      <c r="AA2901" s="624"/>
      <c r="AB2901" s="663">
        <v>39169002300</v>
      </c>
      <c r="AC2901" s="663" t="s">
        <v>7833</v>
      </c>
      <c r="AD2901" s="663" t="s">
        <v>4941</v>
      </c>
      <c r="AE2901" s="663" t="s">
        <v>4934</v>
      </c>
      <c r="AF2901" s="663" t="s">
        <v>4929</v>
      </c>
    </row>
    <row r="2902" spans="1:32" s="608" customFormat="1" x14ac:dyDescent="0.25">
      <c r="A2902" s="624"/>
      <c r="B2902" s="617">
        <v>39153531502</v>
      </c>
      <c r="C2902" s="617" t="s">
        <v>4570</v>
      </c>
      <c r="D2902" s="617" t="s">
        <v>100</v>
      </c>
      <c r="E2902" s="617" t="s">
        <v>4860</v>
      </c>
      <c r="F2902" s="617" t="s">
        <v>26</v>
      </c>
      <c r="G2902" s="624"/>
      <c r="O2902" s="616"/>
      <c r="P2902" s="616"/>
      <c r="Q2902" s="616"/>
      <c r="AA2902" s="624"/>
      <c r="AB2902" s="663">
        <v>39169002400</v>
      </c>
      <c r="AC2902" s="663" t="s">
        <v>7834</v>
      </c>
      <c r="AD2902" s="663" t="s">
        <v>4948</v>
      </c>
      <c r="AE2902" s="663" t="s">
        <v>4939</v>
      </c>
      <c r="AF2902" s="663" t="s">
        <v>4929</v>
      </c>
    </row>
    <row r="2903" spans="1:32" s="608" customFormat="1" x14ac:dyDescent="0.25">
      <c r="A2903" s="624"/>
      <c r="B2903" s="617">
        <v>39153531601</v>
      </c>
      <c r="C2903" s="617" t="s">
        <v>4571</v>
      </c>
      <c r="D2903" s="617" t="s">
        <v>100</v>
      </c>
      <c r="E2903" s="617" t="s">
        <v>4860</v>
      </c>
      <c r="F2903" s="617" t="s">
        <v>26</v>
      </c>
      <c r="G2903" s="624"/>
      <c r="O2903" s="616"/>
      <c r="P2903" s="616"/>
      <c r="Q2903" s="616"/>
      <c r="AA2903" s="624"/>
      <c r="AB2903" s="663">
        <v>39169002500</v>
      </c>
      <c r="AC2903" s="663" t="s">
        <v>7835</v>
      </c>
      <c r="AD2903" s="663" t="s">
        <v>4938</v>
      </c>
      <c r="AE2903" s="663" t="s">
        <v>4942</v>
      </c>
      <c r="AF2903" s="663" t="s">
        <v>4929</v>
      </c>
    </row>
    <row r="2904" spans="1:32" s="608" customFormat="1" x14ac:dyDescent="0.25">
      <c r="A2904" s="624"/>
      <c r="B2904" s="617">
        <v>39153531602</v>
      </c>
      <c r="C2904" s="617" t="s">
        <v>4572</v>
      </c>
      <c r="D2904" s="617" t="s">
        <v>100</v>
      </c>
      <c r="E2904" s="617" t="s">
        <v>4860</v>
      </c>
      <c r="F2904" s="617" t="s">
        <v>26</v>
      </c>
      <c r="G2904" s="624"/>
      <c r="O2904" s="616"/>
      <c r="P2904" s="616"/>
      <c r="Q2904" s="616"/>
      <c r="AA2904" s="624"/>
      <c r="AB2904" s="663">
        <v>39169002901</v>
      </c>
      <c r="AC2904" s="663" t="s">
        <v>7836</v>
      </c>
      <c r="AD2904" s="663" t="s">
        <v>4948</v>
      </c>
      <c r="AE2904" s="663" t="s">
        <v>4939</v>
      </c>
      <c r="AF2904" s="663" t="s">
        <v>4946</v>
      </c>
    </row>
    <row r="2905" spans="1:32" s="608" customFormat="1" x14ac:dyDescent="0.25">
      <c r="A2905" s="624"/>
      <c r="B2905" s="617">
        <v>39153531701</v>
      </c>
      <c r="C2905" s="617" t="s">
        <v>4573</v>
      </c>
      <c r="D2905" s="617" t="s">
        <v>100</v>
      </c>
      <c r="E2905" s="617" t="s">
        <v>4860</v>
      </c>
      <c r="F2905" s="617" t="s">
        <v>26</v>
      </c>
      <c r="G2905" s="624"/>
      <c r="O2905" s="616"/>
      <c r="P2905" s="616"/>
      <c r="Q2905" s="616"/>
      <c r="AA2905" s="624"/>
      <c r="AB2905" s="663">
        <v>39169002902</v>
      </c>
      <c r="AC2905" s="663" t="s">
        <v>7837</v>
      </c>
      <c r="AD2905" s="663" t="s">
        <v>4948</v>
      </c>
      <c r="AE2905" s="663" t="s">
        <v>4942</v>
      </c>
      <c r="AF2905" s="663" t="s">
        <v>4946</v>
      </c>
    </row>
    <row r="2906" spans="1:32" s="608" customFormat="1" x14ac:dyDescent="0.25">
      <c r="A2906" s="624"/>
      <c r="B2906" s="617">
        <v>39153531702</v>
      </c>
      <c r="C2906" s="617" t="s">
        <v>4574</v>
      </c>
      <c r="D2906" s="617" t="s">
        <v>100</v>
      </c>
      <c r="E2906" s="617" t="s">
        <v>4860</v>
      </c>
      <c r="F2906" s="617" t="s">
        <v>26</v>
      </c>
      <c r="G2906" s="624"/>
      <c r="O2906" s="616"/>
      <c r="P2906" s="616"/>
      <c r="Q2906" s="616"/>
      <c r="AA2906" s="624"/>
      <c r="AB2906" s="663">
        <v>39169003000</v>
      </c>
      <c r="AC2906" s="663" t="s">
        <v>7838</v>
      </c>
      <c r="AD2906" s="663" t="s">
        <v>4941</v>
      </c>
      <c r="AE2906" s="663" t="s">
        <v>4942</v>
      </c>
      <c r="AF2906" s="663" t="s">
        <v>4929</v>
      </c>
    </row>
    <row r="2907" spans="1:32" s="608" customFormat="1" x14ac:dyDescent="0.25">
      <c r="A2907" s="624"/>
      <c r="B2907" s="617">
        <v>39153531801</v>
      </c>
      <c r="C2907" s="617" t="s">
        <v>4575</v>
      </c>
      <c r="D2907" s="617" t="s">
        <v>100</v>
      </c>
      <c r="E2907" s="617" t="s">
        <v>4860</v>
      </c>
      <c r="F2907" s="617" t="s">
        <v>26</v>
      </c>
      <c r="G2907" s="624"/>
      <c r="O2907" s="616"/>
      <c r="P2907" s="616"/>
      <c r="Q2907" s="616"/>
      <c r="AA2907" s="624"/>
      <c r="AB2907" s="663">
        <v>39169003100</v>
      </c>
      <c r="AC2907" s="663" t="s">
        <v>7839</v>
      </c>
      <c r="AD2907" s="663" t="s">
        <v>4941</v>
      </c>
      <c r="AE2907" s="663" t="s">
        <v>4939</v>
      </c>
      <c r="AF2907" s="663" t="s">
        <v>4929</v>
      </c>
    </row>
    <row r="2908" spans="1:32" s="608" customFormat="1" x14ac:dyDescent="0.25">
      <c r="A2908" s="624"/>
      <c r="B2908" s="617">
        <v>39153531802</v>
      </c>
      <c r="C2908" s="617" t="s">
        <v>4576</v>
      </c>
      <c r="D2908" s="617" t="s">
        <v>100</v>
      </c>
      <c r="E2908" s="617" t="s">
        <v>4860</v>
      </c>
      <c r="F2908" s="617" t="s">
        <v>26</v>
      </c>
      <c r="G2908" s="624"/>
      <c r="O2908" s="616"/>
      <c r="P2908" s="616"/>
      <c r="Q2908" s="616"/>
      <c r="AA2908" s="624"/>
      <c r="AB2908" s="663">
        <v>39169003200</v>
      </c>
      <c r="AC2908" s="663" t="s">
        <v>7840</v>
      </c>
      <c r="AD2908" s="663" t="s">
        <v>4938</v>
      </c>
      <c r="AE2908" s="663" t="s">
        <v>4934</v>
      </c>
      <c r="AF2908" s="663" t="s">
        <v>4929</v>
      </c>
    </row>
    <row r="2909" spans="1:32" s="608" customFormat="1" x14ac:dyDescent="0.25">
      <c r="A2909" s="624"/>
      <c r="B2909" s="617">
        <v>39153532001</v>
      </c>
      <c r="C2909" s="617" t="s">
        <v>4577</v>
      </c>
      <c r="D2909" s="617" t="s">
        <v>100</v>
      </c>
      <c r="E2909" s="617" t="s">
        <v>4860</v>
      </c>
      <c r="F2909" s="617" t="s">
        <v>26</v>
      </c>
      <c r="G2909" s="624"/>
      <c r="O2909" s="616"/>
      <c r="P2909" s="616"/>
      <c r="Q2909" s="616"/>
      <c r="AA2909" s="624"/>
      <c r="AB2909" s="663">
        <v>39169003300</v>
      </c>
      <c r="AC2909" s="663" t="s">
        <v>7841</v>
      </c>
      <c r="AD2909" s="663" t="s">
        <v>4941</v>
      </c>
      <c r="AE2909" s="663" t="s">
        <v>4942</v>
      </c>
      <c r="AF2909" s="663" t="s">
        <v>4929</v>
      </c>
    </row>
    <row r="2910" spans="1:32" s="608" customFormat="1" x14ac:dyDescent="0.25">
      <c r="A2910" s="624"/>
      <c r="B2910" s="617">
        <v>39153532003</v>
      </c>
      <c r="C2910" s="617" t="s">
        <v>4578</v>
      </c>
      <c r="D2910" s="617" t="s">
        <v>100</v>
      </c>
      <c r="E2910" s="617" t="s">
        <v>4860</v>
      </c>
      <c r="F2910" s="617" t="s">
        <v>26</v>
      </c>
      <c r="G2910" s="624"/>
      <c r="O2910" s="616"/>
      <c r="P2910" s="616"/>
      <c r="Q2910" s="616"/>
      <c r="AA2910" s="624"/>
      <c r="AB2910" s="663">
        <v>39169003400</v>
      </c>
      <c r="AC2910" s="663" t="s">
        <v>7842</v>
      </c>
      <c r="AD2910" s="663" t="s">
        <v>4950</v>
      </c>
      <c r="AE2910" s="663" t="s">
        <v>4928</v>
      </c>
      <c r="AF2910" s="663" t="s">
        <v>4946</v>
      </c>
    </row>
    <row r="2911" spans="1:32" s="608" customFormat="1" x14ac:dyDescent="0.25">
      <c r="A2911" s="624"/>
      <c r="B2911" s="617">
        <v>39153532004</v>
      </c>
      <c r="C2911" s="617" t="s">
        <v>4579</v>
      </c>
      <c r="D2911" s="617" t="s">
        <v>100</v>
      </c>
      <c r="E2911" s="617" t="s">
        <v>4860</v>
      </c>
      <c r="F2911" s="617" t="s">
        <v>26</v>
      </c>
      <c r="G2911" s="624"/>
      <c r="O2911" s="616"/>
      <c r="P2911" s="616"/>
      <c r="Q2911" s="616"/>
      <c r="AA2911" s="624"/>
      <c r="AB2911" s="663">
        <v>39169003500</v>
      </c>
      <c r="AC2911" s="663" t="s">
        <v>7843</v>
      </c>
      <c r="AD2911" s="663" t="s">
        <v>4948</v>
      </c>
      <c r="AE2911" s="663" t="s">
        <v>4934</v>
      </c>
      <c r="AF2911" s="663" t="s">
        <v>4946</v>
      </c>
    </row>
    <row r="2912" spans="1:32" s="608" customFormat="1" x14ac:dyDescent="0.25">
      <c r="A2912" s="624"/>
      <c r="B2912" s="617">
        <v>39153532202</v>
      </c>
      <c r="C2912" s="617" t="s">
        <v>4580</v>
      </c>
      <c r="D2912" s="617" t="s">
        <v>100</v>
      </c>
      <c r="E2912" s="617" t="s">
        <v>4860</v>
      </c>
      <c r="F2912" s="617" t="s">
        <v>26</v>
      </c>
      <c r="G2912" s="624"/>
      <c r="O2912" s="616"/>
      <c r="P2912" s="616"/>
      <c r="Q2912" s="616"/>
      <c r="AA2912" s="624"/>
      <c r="AB2912" s="663">
        <v>39169003700</v>
      </c>
      <c r="AC2912" s="663" t="s">
        <v>7844</v>
      </c>
      <c r="AD2912" s="663" t="s">
        <v>4950</v>
      </c>
      <c r="AE2912" s="663" t="s">
        <v>4942</v>
      </c>
      <c r="AF2912" s="663" t="s">
        <v>4929</v>
      </c>
    </row>
    <row r="2913" spans="1:32" s="608" customFormat="1" x14ac:dyDescent="0.25">
      <c r="A2913" s="624"/>
      <c r="B2913" s="617">
        <v>39153532301</v>
      </c>
      <c r="C2913" s="617" t="s">
        <v>4581</v>
      </c>
      <c r="D2913" s="617" t="s">
        <v>100</v>
      </c>
      <c r="E2913" s="617" t="s">
        <v>4860</v>
      </c>
      <c r="F2913" s="617" t="s">
        <v>26</v>
      </c>
      <c r="G2913" s="624"/>
      <c r="O2913" s="616"/>
      <c r="P2913" s="616"/>
      <c r="Q2913" s="616"/>
      <c r="AA2913" s="624"/>
      <c r="AB2913" s="663">
        <v>39169980000</v>
      </c>
      <c r="AC2913" s="663" t="s">
        <v>7845</v>
      </c>
      <c r="AD2913" s="663" t="s">
        <v>4941</v>
      </c>
      <c r="AE2913" s="663" t="s">
        <v>4928</v>
      </c>
      <c r="AF2913" s="663" t="s">
        <v>4983</v>
      </c>
    </row>
    <row r="2914" spans="1:32" s="608" customFormat="1" x14ac:dyDescent="0.25">
      <c r="A2914" s="624"/>
      <c r="B2914" s="617">
        <v>39153532302</v>
      </c>
      <c r="C2914" s="617" t="s">
        <v>4582</v>
      </c>
      <c r="D2914" s="617" t="s">
        <v>100</v>
      </c>
      <c r="E2914" s="617" t="s">
        <v>4860</v>
      </c>
      <c r="F2914" s="617" t="s">
        <v>26</v>
      </c>
      <c r="G2914" s="624"/>
      <c r="O2914" s="616"/>
      <c r="P2914" s="616"/>
      <c r="Q2914" s="616"/>
      <c r="AA2914" s="624"/>
      <c r="AB2914" s="663">
        <v>39171950100</v>
      </c>
      <c r="AC2914" s="663" t="s">
        <v>7846</v>
      </c>
      <c r="AD2914" s="663" t="s">
        <v>4948</v>
      </c>
      <c r="AE2914" s="663" t="s">
        <v>4942</v>
      </c>
      <c r="AF2914" s="663" t="s">
        <v>4929</v>
      </c>
    </row>
    <row r="2915" spans="1:32" s="608" customFormat="1" x14ac:dyDescent="0.25">
      <c r="A2915" s="624"/>
      <c r="B2915" s="617">
        <v>39153532501</v>
      </c>
      <c r="C2915" s="617" t="s">
        <v>4583</v>
      </c>
      <c r="D2915" s="617" t="s">
        <v>100</v>
      </c>
      <c r="E2915" s="617" t="s">
        <v>4860</v>
      </c>
      <c r="F2915" s="617" t="s">
        <v>26</v>
      </c>
      <c r="G2915" s="624"/>
      <c r="O2915" s="616"/>
      <c r="P2915" s="616"/>
      <c r="Q2915" s="616"/>
      <c r="AA2915" s="624"/>
      <c r="AB2915" s="663">
        <v>39171950200</v>
      </c>
      <c r="AC2915" s="663" t="s">
        <v>7847</v>
      </c>
      <c r="AD2915" s="663" t="s">
        <v>4948</v>
      </c>
      <c r="AE2915" s="663" t="s">
        <v>4939</v>
      </c>
      <c r="AF2915" s="663" t="s">
        <v>4929</v>
      </c>
    </row>
    <row r="2916" spans="1:32" s="608" customFormat="1" x14ac:dyDescent="0.25">
      <c r="A2916" s="624"/>
      <c r="B2916" s="617">
        <v>39153532502</v>
      </c>
      <c r="C2916" s="617" t="s">
        <v>4584</v>
      </c>
      <c r="D2916" s="617" t="s">
        <v>100</v>
      </c>
      <c r="E2916" s="617" t="s">
        <v>4860</v>
      </c>
      <c r="F2916" s="617" t="s">
        <v>26</v>
      </c>
      <c r="G2916" s="624"/>
      <c r="O2916" s="616"/>
      <c r="P2916" s="616"/>
      <c r="Q2916" s="616"/>
      <c r="AA2916" s="624"/>
      <c r="AB2916" s="663">
        <v>39171950300</v>
      </c>
      <c r="AC2916" s="663" t="s">
        <v>7848</v>
      </c>
      <c r="AD2916" s="663" t="s">
        <v>4948</v>
      </c>
      <c r="AE2916" s="663" t="s">
        <v>4939</v>
      </c>
      <c r="AF2916" s="663" t="s">
        <v>4929</v>
      </c>
    </row>
    <row r="2917" spans="1:32" s="608" customFormat="1" x14ac:dyDescent="0.25">
      <c r="A2917" s="624"/>
      <c r="B2917" s="617">
        <v>39153532600</v>
      </c>
      <c r="C2917" s="617" t="s">
        <v>4585</v>
      </c>
      <c r="D2917" s="617" t="s">
        <v>100</v>
      </c>
      <c r="E2917" s="617" t="s">
        <v>4860</v>
      </c>
      <c r="F2917" s="617" t="s">
        <v>26</v>
      </c>
      <c r="G2917" s="624"/>
      <c r="O2917" s="616"/>
      <c r="P2917" s="616"/>
      <c r="Q2917" s="616"/>
      <c r="AA2917" s="624"/>
      <c r="AB2917" s="663">
        <v>39171950400</v>
      </c>
      <c r="AC2917" s="663" t="s">
        <v>7849</v>
      </c>
      <c r="AD2917" s="663" t="s">
        <v>4941</v>
      </c>
      <c r="AE2917" s="663" t="s">
        <v>4942</v>
      </c>
      <c r="AF2917" s="663" t="s">
        <v>4929</v>
      </c>
    </row>
    <row r="2918" spans="1:32" s="608" customFormat="1" x14ac:dyDescent="0.25">
      <c r="A2918" s="624"/>
      <c r="B2918" s="617">
        <v>39153532701</v>
      </c>
      <c r="C2918" s="617" t="s">
        <v>4586</v>
      </c>
      <c r="D2918" s="617" t="s">
        <v>100</v>
      </c>
      <c r="E2918" s="617" t="s">
        <v>4860</v>
      </c>
      <c r="F2918" s="617" t="s">
        <v>26</v>
      </c>
      <c r="G2918" s="624"/>
      <c r="O2918" s="616"/>
      <c r="P2918" s="616"/>
      <c r="Q2918" s="616"/>
      <c r="AA2918" s="624"/>
      <c r="AB2918" s="663">
        <v>39171950500</v>
      </c>
      <c r="AC2918" s="663" t="s">
        <v>7850</v>
      </c>
      <c r="AD2918" s="663" t="s">
        <v>4941</v>
      </c>
      <c r="AE2918" s="663" t="s">
        <v>4939</v>
      </c>
      <c r="AF2918" s="663" t="s">
        <v>4929</v>
      </c>
    </row>
    <row r="2919" spans="1:32" s="608" customFormat="1" x14ac:dyDescent="0.25">
      <c r="A2919" s="624"/>
      <c r="B2919" s="617">
        <v>39153532702</v>
      </c>
      <c r="C2919" s="617" t="s">
        <v>4587</v>
      </c>
      <c r="D2919" s="617" t="s">
        <v>100</v>
      </c>
      <c r="E2919" s="617" t="s">
        <v>4860</v>
      </c>
      <c r="F2919" s="617" t="s">
        <v>26</v>
      </c>
      <c r="G2919" s="624"/>
      <c r="O2919" s="616"/>
      <c r="P2919" s="616"/>
      <c r="Q2919" s="616"/>
      <c r="AA2919" s="624"/>
      <c r="AB2919" s="663">
        <v>39171950600</v>
      </c>
      <c r="AC2919" s="663" t="s">
        <v>7851</v>
      </c>
      <c r="AD2919" s="663" t="s">
        <v>4948</v>
      </c>
      <c r="AE2919" s="663" t="s">
        <v>4939</v>
      </c>
      <c r="AF2919" s="663" t="s">
        <v>4929</v>
      </c>
    </row>
    <row r="2920" spans="1:32" s="608" customFormat="1" x14ac:dyDescent="0.25">
      <c r="A2920" s="624"/>
      <c r="B2920" s="617">
        <v>39153532703</v>
      </c>
      <c r="C2920" s="617" t="s">
        <v>4588</v>
      </c>
      <c r="D2920" s="617" t="s">
        <v>100</v>
      </c>
      <c r="E2920" s="617" t="s">
        <v>4860</v>
      </c>
      <c r="F2920" s="617" t="s">
        <v>26</v>
      </c>
      <c r="G2920" s="624"/>
      <c r="O2920" s="616"/>
      <c r="P2920" s="616"/>
      <c r="Q2920" s="616"/>
      <c r="AA2920" s="624"/>
      <c r="AB2920" s="663">
        <v>39171950700</v>
      </c>
      <c r="AC2920" s="663" t="s">
        <v>7852</v>
      </c>
      <c r="AD2920" s="663" t="s">
        <v>4938</v>
      </c>
      <c r="AE2920" s="663" t="s">
        <v>4931</v>
      </c>
      <c r="AF2920" s="663" t="s">
        <v>4929</v>
      </c>
    </row>
    <row r="2921" spans="1:32" s="608" customFormat="1" x14ac:dyDescent="0.25">
      <c r="A2921" s="624"/>
      <c r="B2921" s="617">
        <v>39153532705</v>
      </c>
      <c r="C2921" s="617" t="s">
        <v>4589</v>
      </c>
      <c r="D2921" s="617" t="s">
        <v>100</v>
      </c>
      <c r="E2921" s="617" t="s">
        <v>4860</v>
      </c>
      <c r="F2921" s="617" t="s">
        <v>26</v>
      </c>
      <c r="G2921" s="624"/>
      <c r="O2921" s="616"/>
      <c r="P2921" s="616"/>
      <c r="Q2921" s="616"/>
      <c r="AA2921" s="624"/>
      <c r="AB2921" s="663">
        <v>39171950800</v>
      </c>
      <c r="AC2921" s="663" t="s">
        <v>7853</v>
      </c>
      <c r="AD2921" s="663" t="s">
        <v>4941</v>
      </c>
      <c r="AE2921" s="663" t="s">
        <v>4931</v>
      </c>
      <c r="AF2921" s="663" t="s">
        <v>4929</v>
      </c>
    </row>
    <row r="2922" spans="1:32" s="608" customFormat="1" x14ac:dyDescent="0.25">
      <c r="A2922" s="624"/>
      <c r="B2922" s="617">
        <v>39153532706</v>
      </c>
      <c r="C2922" s="617" t="s">
        <v>4590</v>
      </c>
      <c r="D2922" s="617" t="s">
        <v>100</v>
      </c>
      <c r="E2922" s="617" t="s">
        <v>4860</v>
      </c>
      <c r="F2922" s="617" t="s">
        <v>26</v>
      </c>
      <c r="G2922" s="624"/>
      <c r="O2922" s="616"/>
      <c r="P2922" s="616"/>
      <c r="Q2922" s="616"/>
      <c r="AA2922" s="624"/>
      <c r="AB2922" s="663">
        <v>39171950900</v>
      </c>
      <c r="AC2922" s="663" t="s">
        <v>7854</v>
      </c>
      <c r="AD2922" s="663" t="s">
        <v>4941</v>
      </c>
      <c r="AE2922" s="663" t="s">
        <v>4931</v>
      </c>
      <c r="AF2922" s="663" t="s">
        <v>4929</v>
      </c>
    </row>
    <row r="2923" spans="1:32" s="608" customFormat="1" x14ac:dyDescent="0.25">
      <c r="A2923" s="624"/>
      <c r="B2923" s="617">
        <v>39153532708</v>
      </c>
      <c r="C2923" s="617" t="s">
        <v>4591</v>
      </c>
      <c r="D2923" s="617" t="s">
        <v>100</v>
      </c>
      <c r="E2923" s="617" t="s">
        <v>4860</v>
      </c>
      <c r="F2923" s="617" t="s">
        <v>26</v>
      </c>
      <c r="G2923" s="624"/>
      <c r="O2923" s="616"/>
      <c r="P2923" s="616"/>
      <c r="Q2923" s="616"/>
      <c r="AA2923" s="624"/>
      <c r="AB2923" s="663">
        <v>39173020100</v>
      </c>
      <c r="AC2923" s="663" t="s">
        <v>7855</v>
      </c>
      <c r="AD2923" s="663" t="s">
        <v>4948</v>
      </c>
      <c r="AE2923" s="663" t="s">
        <v>4942</v>
      </c>
      <c r="AF2923" s="663" t="s">
        <v>4946</v>
      </c>
    </row>
    <row r="2924" spans="1:32" s="608" customFormat="1" x14ac:dyDescent="0.25">
      <c r="A2924" s="624"/>
      <c r="B2924" s="617">
        <v>39153532901</v>
      </c>
      <c r="C2924" s="617" t="s">
        <v>4592</v>
      </c>
      <c r="D2924" s="617" t="s">
        <v>100</v>
      </c>
      <c r="E2924" s="617" t="s">
        <v>4860</v>
      </c>
      <c r="F2924" s="617" t="s">
        <v>26</v>
      </c>
      <c r="G2924" s="624"/>
      <c r="O2924" s="616"/>
      <c r="P2924" s="616"/>
      <c r="Q2924" s="616"/>
      <c r="AA2924" s="624"/>
      <c r="AB2924" s="663">
        <v>39173020200</v>
      </c>
      <c r="AC2924" s="663" t="s">
        <v>7856</v>
      </c>
      <c r="AD2924" s="663" t="s">
        <v>4948</v>
      </c>
      <c r="AE2924" s="663" t="s">
        <v>4934</v>
      </c>
      <c r="AF2924" s="663" t="s">
        <v>4946</v>
      </c>
    </row>
    <row r="2925" spans="1:32" s="608" customFormat="1" x14ac:dyDescent="0.25">
      <c r="A2925" s="624"/>
      <c r="B2925" s="617">
        <v>39153532902</v>
      </c>
      <c r="C2925" s="617" t="s">
        <v>4593</v>
      </c>
      <c r="D2925" s="617" t="s">
        <v>100</v>
      </c>
      <c r="E2925" s="617" t="s">
        <v>4860</v>
      </c>
      <c r="F2925" s="617" t="s">
        <v>26</v>
      </c>
      <c r="G2925" s="624"/>
      <c r="O2925" s="616"/>
      <c r="P2925" s="616"/>
      <c r="Q2925" s="616"/>
      <c r="AA2925" s="624"/>
      <c r="AB2925" s="663">
        <v>39173020300</v>
      </c>
      <c r="AC2925" s="663" t="s">
        <v>7857</v>
      </c>
      <c r="AD2925" s="663" t="s">
        <v>4948</v>
      </c>
      <c r="AE2925" s="663" t="s">
        <v>4939</v>
      </c>
      <c r="AF2925" s="663" t="s">
        <v>4946</v>
      </c>
    </row>
    <row r="2926" spans="1:32" s="608" customFormat="1" x14ac:dyDescent="0.25">
      <c r="A2926" s="624"/>
      <c r="B2926" s="617">
        <v>39153532999</v>
      </c>
      <c r="C2926" s="617" t="s">
        <v>4594</v>
      </c>
      <c r="D2926" s="617" t="s">
        <v>100</v>
      </c>
      <c r="E2926" s="617" t="s">
        <v>4860</v>
      </c>
      <c r="F2926" s="617" t="s">
        <v>26</v>
      </c>
      <c r="G2926" s="624"/>
      <c r="O2926" s="616"/>
      <c r="P2926" s="616"/>
      <c r="Q2926" s="616"/>
      <c r="AA2926" s="624"/>
      <c r="AB2926" s="663">
        <v>39173020401</v>
      </c>
      <c r="AC2926" s="663" t="s">
        <v>7858</v>
      </c>
      <c r="AD2926" s="663" t="s">
        <v>4938</v>
      </c>
      <c r="AE2926" s="663" t="s">
        <v>4934</v>
      </c>
      <c r="AF2926" s="663" t="s">
        <v>4946</v>
      </c>
    </row>
    <row r="2927" spans="1:32" s="608" customFormat="1" x14ac:dyDescent="0.25">
      <c r="A2927" s="624"/>
      <c r="B2927" s="617">
        <v>39153533000</v>
      </c>
      <c r="C2927" s="617" t="s">
        <v>4595</v>
      </c>
      <c r="D2927" s="617" t="s">
        <v>100</v>
      </c>
      <c r="E2927" s="617" t="s">
        <v>4860</v>
      </c>
      <c r="F2927" s="617" t="s">
        <v>26</v>
      </c>
      <c r="G2927" s="624"/>
      <c r="O2927" s="616"/>
      <c r="P2927" s="616"/>
      <c r="Q2927" s="616"/>
      <c r="AA2927" s="624"/>
      <c r="AB2927" s="663">
        <v>39173020402</v>
      </c>
      <c r="AC2927" s="663" t="s">
        <v>7859</v>
      </c>
      <c r="AD2927" s="663" t="s">
        <v>4938</v>
      </c>
      <c r="AE2927" s="663" t="s">
        <v>4939</v>
      </c>
      <c r="AF2927" s="663" t="s">
        <v>4946</v>
      </c>
    </row>
    <row r="2928" spans="1:32" s="608" customFormat="1" x14ac:dyDescent="0.25">
      <c r="A2928" s="624"/>
      <c r="B2928" s="617">
        <v>39153533101</v>
      </c>
      <c r="C2928" s="617" t="s">
        <v>4596</v>
      </c>
      <c r="D2928" s="617" t="s">
        <v>100</v>
      </c>
      <c r="E2928" s="617" t="s">
        <v>4860</v>
      </c>
      <c r="F2928" s="617" t="s">
        <v>26</v>
      </c>
      <c r="G2928" s="624"/>
      <c r="O2928" s="616"/>
      <c r="P2928" s="616"/>
      <c r="Q2928" s="616"/>
      <c r="AA2928" s="624"/>
      <c r="AB2928" s="663">
        <v>39173020500</v>
      </c>
      <c r="AC2928" s="663" t="s">
        <v>7860</v>
      </c>
      <c r="AD2928" s="663" t="s">
        <v>4938</v>
      </c>
      <c r="AE2928" s="663" t="s">
        <v>4939</v>
      </c>
      <c r="AF2928" s="663" t="s">
        <v>4946</v>
      </c>
    </row>
    <row r="2929" spans="1:32" s="608" customFormat="1" x14ac:dyDescent="0.25">
      <c r="A2929" s="624"/>
      <c r="B2929" s="617">
        <v>39153533102</v>
      </c>
      <c r="C2929" s="617" t="s">
        <v>4597</v>
      </c>
      <c r="D2929" s="617" t="s">
        <v>100</v>
      </c>
      <c r="E2929" s="617" t="s">
        <v>4860</v>
      </c>
      <c r="F2929" s="617" t="s">
        <v>26</v>
      </c>
      <c r="G2929" s="624"/>
      <c r="O2929" s="616"/>
      <c r="P2929" s="616"/>
      <c r="Q2929" s="616"/>
      <c r="AA2929" s="624"/>
      <c r="AB2929" s="663">
        <v>39173020601</v>
      </c>
      <c r="AC2929" s="663" t="s">
        <v>7861</v>
      </c>
      <c r="AD2929" s="663" t="s">
        <v>4938</v>
      </c>
      <c r="AE2929" s="663" t="s">
        <v>4942</v>
      </c>
      <c r="AF2929" s="663" t="s">
        <v>4946</v>
      </c>
    </row>
    <row r="2930" spans="1:32" s="608" customFormat="1" x14ac:dyDescent="0.25">
      <c r="A2930" s="624"/>
      <c r="B2930" s="617">
        <v>39153533200</v>
      </c>
      <c r="C2930" s="617" t="s">
        <v>4598</v>
      </c>
      <c r="D2930" s="617" t="s">
        <v>100</v>
      </c>
      <c r="E2930" s="617" t="s">
        <v>4860</v>
      </c>
      <c r="F2930" s="617" t="s">
        <v>26</v>
      </c>
      <c r="G2930" s="624"/>
      <c r="O2930" s="616"/>
      <c r="P2930" s="616"/>
      <c r="Q2930" s="616"/>
      <c r="AA2930" s="624"/>
      <c r="AB2930" s="663">
        <v>39173020602</v>
      </c>
      <c r="AC2930" s="663" t="s">
        <v>7862</v>
      </c>
      <c r="AD2930" s="663" t="s">
        <v>4938</v>
      </c>
      <c r="AE2930" s="663" t="s">
        <v>4942</v>
      </c>
      <c r="AF2930" s="663" t="s">
        <v>4946</v>
      </c>
    </row>
    <row r="2931" spans="1:32" s="608" customFormat="1" x14ac:dyDescent="0.25">
      <c r="A2931" s="624"/>
      <c r="B2931" s="617">
        <v>39153533400</v>
      </c>
      <c r="C2931" s="617" t="s">
        <v>4599</v>
      </c>
      <c r="D2931" s="617" t="s">
        <v>100</v>
      </c>
      <c r="E2931" s="617" t="s">
        <v>4860</v>
      </c>
      <c r="F2931" s="617" t="s">
        <v>26</v>
      </c>
      <c r="G2931" s="624"/>
      <c r="O2931" s="616"/>
      <c r="P2931" s="616"/>
      <c r="Q2931" s="616"/>
      <c r="AA2931" s="624"/>
      <c r="AB2931" s="663">
        <v>39173020700</v>
      </c>
      <c r="AC2931" s="663" t="s">
        <v>7863</v>
      </c>
      <c r="AD2931" s="663" t="s">
        <v>4941</v>
      </c>
      <c r="AE2931" s="663" t="s">
        <v>4934</v>
      </c>
      <c r="AF2931" s="663" t="s">
        <v>4929</v>
      </c>
    </row>
    <row r="2932" spans="1:32" s="608" customFormat="1" x14ac:dyDescent="0.25">
      <c r="A2932" s="624"/>
      <c r="B2932" s="617">
        <v>39153533501</v>
      </c>
      <c r="C2932" s="617" t="s">
        <v>4600</v>
      </c>
      <c r="D2932" s="617" t="s">
        <v>100</v>
      </c>
      <c r="E2932" s="617" t="s">
        <v>4860</v>
      </c>
      <c r="F2932" s="617" t="s">
        <v>26</v>
      </c>
      <c r="G2932" s="624"/>
      <c r="O2932" s="616"/>
      <c r="P2932" s="616"/>
      <c r="Q2932" s="616"/>
      <c r="AA2932" s="624"/>
      <c r="AB2932" s="663">
        <v>39173020800</v>
      </c>
      <c r="AC2932" s="663" t="s">
        <v>7864</v>
      </c>
      <c r="AD2932" s="663" t="s">
        <v>4950</v>
      </c>
      <c r="AE2932" s="663" t="s">
        <v>4934</v>
      </c>
      <c r="AF2932" s="663" t="s">
        <v>4946</v>
      </c>
    </row>
    <row r="2933" spans="1:32" s="608" customFormat="1" x14ac:dyDescent="0.25">
      <c r="A2933" s="624"/>
      <c r="B2933" s="617">
        <v>39153533502</v>
      </c>
      <c r="C2933" s="617" t="s">
        <v>4601</v>
      </c>
      <c r="D2933" s="617" t="s">
        <v>100</v>
      </c>
      <c r="E2933" s="617" t="s">
        <v>4860</v>
      </c>
      <c r="F2933" s="617" t="s">
        <v>26</v>
      </c>
      <c r="G2933" s="624"/>
      <c r="O2933" s="616"/>
      <c r="P2933" s="616"/>
      <c r="Q2933" s="616"/>
      <c r="AA2933" s="624"/>
      <c r="AB2933" s="663">
        <v>39173020900</v>
      </c>
      <c r="AC2933" s="663" t="s">
        <v>7865</v>
      </c>
      <c r="AD2933" s="663" t="s">
        <v>4941</v>
      </c>
      <c r="AE2933" s="663" t="s">
        <v>4931</v>
      </c>
      <c r="AF2933" s="663" t="s">
        <v>4929</v>
      </c>
    </row>
    <row r="2934" spans="1:32" s="608" customFormat="1" x14ac:dyDescent="0.25">
      <c r="A2934" s="624"/>
      <c r="B2934" s="617">
        <v>39153534000</v>
      </c>
      <c r="C2934" s="617" t="s">
        <v>4602</v>
      </c>
      <c r="D2934" s="617" t="s">
        <v>100</v>
      </c>
      <c r="E2934" s="617" t="s">
        <v>4860</v>
      </c>
      <c r="F2934" s="617" t="s">
        <v>26</v>
      </c>
      <c r="G2934" s="624"/>
      <c r="O2934" s="616"/>
      <c r="P2934" s="616"/>
      <c r="Q2934" s="616"/>
      <c r="AA2934" s="624"/>
      <c r="AB2934" s="663">
        <v>39173021000</v>
      </c>
      <c r="AC2934" s="663" t="s">
        <v>7866</v>
      </c>
      <c r="AD2934" s="663" t="s">
        <v>4938</v>
      </c>
      <c r="AE2934" s="663" t="s">
        <v>4934</v>
      </c>
      <c r="AF2934" s="663" t="s">
        <v>4929</v>
      </c>
    </row>
    <row r="2935" spans="1:32" s="608" customFormat="1" x14ac:dyDescent="0.25">
      <c r="A2935" s="624"/>
      <c r="B2935" s="617">
        <v>39153534100</v>
      </c>
      <c r="C2935" s="617" t="s">
        <v>4603</v>
      </c>
      <c r="D2935" s="617" t="s">
        <v>100</v>
      </c>
      <c r="E2935" s="617" t="s">
        <v>4860</v>
      </c>
      <c r="F2935" s="617" t="s">
        <v>26</v>
      </c>
      <c r="G2935" s="624"/>
      <c r="O2935" s="616"/>
      <c r="P2935" s="616"/>
      <c r="Q2935" s="616"/>
      <c r="AA2935" s="624"/>
      <c r="AB2935" s="663">
        <v>39173021100</v>
      </c>
      <c r="AC2935" s="663" t="s">
        <v>7867</v>
      </c>
      <c r="AD2935" s="663" t="s">
        <v>4938</v>
      </c>
      <c r="AE2935" s="663" t="s">
        <v>4939</v>
      </c>
      <c r="AF2935" s="663" t="s">
        <v>4929</v>
      </c>
    </row>
    <row r="2936" spans="1:32" s="608" customFormat="1" x14ac:dyDescent="0.25">
      <c r="A2936" s="624"/>
      <c r="B2936" s="617">
        <v>39155920300</v>
      </c>
      <c r="C2936" s="617" t="s">
        <v>4604</v>
      </c>
      <c r="D2936" s="617" t="s">
        <v>101</v>
      </c>
      <c r="E2936" s="617" t="s">
        <v>4859</v>
      </c>
      <c r="F2936" s="617" t="s">
        <v>26</v>
      </c>
      <c r="G2936" s="624"/>
      <c r="O2936" s="616"/>
      <c r="P2936" s="616"/>
      <c r="Q2936" s="616"/>
      <c r="AA2936" s="624"/>
      <c r="AB2936" s="663">
        <v>39173021200</v>
      </c>
      <c r="AC2936" s="663" t="s">
        <v>7868</v>
      </c>
      <c r="AD2936" s="663" t="s">
        <v>4938</v>
      </c>
      <c r="AE2936" s="663" t="s">
        <v>4939</v>
      </c>
      <c r="AF2936" s="663" t="s">
        <v>4929</v>
      </c>
    </row>
    <row r="2937" spans="1:32" s="608" customFormat="1" x14ac:dyDescent="0.25">
      <c r="A2937" s="624"/>
      <c r="B2937" s="617">
        <v>39155920400</v>
      </c>
      <c r="C2937" s="617" t="s">
        <v>4605</v>
      </c>
      <c r="D2937" s="617" t="s">
        <v>101</v>
      </c>
      <c r="E2937" s="617" t="s">
        <v>4859</v>
      </c>
      <c r="F2937" s="617" t="s">
        <v>24</v>
      </c>
      <c r="G2937" s="624"/>
      <c r="O2937" s="616"/>
      <c r="P2937" s="616"/>
      <c r="Q2937" s="616"/>
      <c r="AA2937" s="624"/>
      <c r="AB2937" s="663">
        <v>39173021300</v>
      </c>
      <c r="AC2937" s="663" t="s">
        <v>7869</v>
      </c>
      <c r="AD2937" s="663" t="s">
        <v>4941</v>
      </c>
      <c r="AE2937" s="663" t="s">
        <v>4942</v>
      </c>
      <c r="AF2937" s="663" t="s">
        <v>4929</v>
      </c>
    </row>
    <row r="2938" spans="1:32" s="608" customFormat="1" x14ac:dyDescent="0.25">
      <c r="A2938" s="624"/>
      <c r="B2938" s="617">
        <v>39155920700</v>
      </c>
      <c r="C2938" s="617" t="s">
        <v>4606</v>
      </c>
      <c r="D2938" s="617" t="s">
        <v>101</v>
      </c>
      <c r="E2938" s="617" t="s">
        <v>4859</v>
      </c>
      <c r="F2938" s="617" t="s">
        <v>24</v>
      </c>
      <c r="G2938" s="624"/>
      <c r="O2938" s="616"/>
      <c r="P2938" s="616"/>
      <c r="Q2938" s="616"/>
      <c r="AA2938" s="624"/>
      <c r="AB2938" s="663">
        <v>39173021400</v>
      </c>
      <c r="AC2938" s="663" t="s">
        <v>7870</v>
      </c>
      <c r="AD2938" s="663" t="s">
        <v>4948</v>
      </c>
      <c r="AE2938" s="663" t="s">
        <v>4931</v>
      </c>
      <c r="AF2938" s="663" t="s">
        <v>4929</v>
      </c>
    </row>
    <row r="2939" spans="1:32" s="608" customFormat="1" x14ac:dyDescent="0.25">
      <c r="A2939" s="624"/>
      <c r="B2939" s="617">
        <v>39155920800</v>
      </c>
      <c r="C2939" s="617" t="s">
        <v>4607</v>
      </c>
      <c r="D2939" s="617" t="s">
        <v>101</v>
      </c>
      <c r="E2939" s="617" t="s">
        <v>4859</v>
      </c>
      <c r="F2939" s="617" t="s">
        <v>24</v>
      </c>
      <c r="G2939" s="624"/>
      <c r="O2939" s="616"/>
      <c r="P2939" s="616"/>
      <c r="Q2939" s="616"/>
      <c r="AA2939" s="624"/>
      <c r="AB2939" s="663">
        <v>39173021500</v>
      </c>
      <c r="AC2939" s="663" t="s">
        <v>7871</v>
      </c>
      <c r="AD2939" s="663" t="s">
        <v>4948</v>
      </c>
      <c r="AE2939" s="663" t="s">
        <v>4928</v>
      </c>
      <c r="AF2939" s="663" t="s">
        <v>4929</v>
      </c>
    </row>
    <row r="2940" spans="1:32" s="608" customFormat="1" x14ac:dyDescent="0.25">
      <c r="A2940" s="624"/>
      <c r="B2940" s="617">
        <v>39155920900</v>
      </c>
      <c r="C2940" s="617" t="s">
        <v>4608</v>
      </c>
      <c r="D2940" s="617" t="s">
        <v>101</v>
      </c>
      <c r="E2940" s="617" t="s">
        <v>4859</v>
      </c>
      <c r="F2940" s="617" t="s">
        <v>24</v>
      </c>
      <c r="G2940" s="624"/>
      <c r="O2940" s="616"/>
      <c r="P2940" s="616"/>
      <c r="Q2940" s="616"/>
      <c r="AA2940" s="624"/>
      <c r="AB2940" s="663">
        <v>39173021600</v>
      </c>
      <c r="AC2940" s="663" t="s">
        <v>7872</v>
      </c>
      <c r="AD2940" s="663" t="s">
        <v>4938</v>
      </c>
      <c r="AE2940" s="663" t="s">
        <v>4939</v>
      </c>
      <c r="AF2940" s="663" t="s">
        <v>4929</v>
      </c>
    </row>
    <row r="2941" spans="1:32" s="608" customFormat="1" x14ac:dyDescent="0.25">
      <c r="A2941" s="624"/>
      <c r="B2941" s="617">
        <v>39155921000</v>
      </c>
      <c r="C2941" s="617" t="s">
        <v>4609</v>
      </c>
      <c r="D2941" s="617" t="s">
        <v>101</v>
      </c>
      <c r="E2941" s="617" t="s">
        <v>4859</v>
      </c>
      <c r="F2941" s="617" t="s">
        <v>24</v>
      </c>
      <c r="G2941" s="624"/>
      <c r="O2941" s="616"/>
      <c r="P2941" s="616"/>
      <c r="Q2941" s="616"/>
      <c r="AA2941" s="624"/>
      <c r="AB2941" s="663">
        <v>39173021701</v>
      </c>
      <c r="AC2941" s="663" t="s">
        <v>7873</v>
      </c>
      <c r="AD2941" s="663" t="s">
        <v>4938</v>
      </c>
      <c r="AE2941" s="663" t="s">
        <v>4934</v>
      </c>
      <c r="AF2941" s="663" t="s">
        <v>4983</v>
      </c>
    </row>
    <row r="2942" spans="1:32" s="608" customFormat="1" x14ac:dyDescent="0.25">
      <c r="A2942" s="624"/>
      <c r="B2942" s="617">
        <v>39155921100</v>
      </c>
      <c r="C2942" s="617" t="s">
        <v>4610</v>
      </c>
      <c r="D2942" s="617" t="s">
        <v>101</v>
      </c>
      <c r="E2942" s="617" t="s">
        <v>4859</v>
      </c>
      <c r="F2942" s="617" t="s">
        <v>24</v>
      </c>
      <c r="G2942" s="624"/>
      <c r="O2942" s="616"/>
      <c r="P2942" s="616"/>
      <c r="Q2942" s="616"/>
      <c r="AA2942" s="624"/>
      <c r="AB2942" s="663">
        <v>39173021702</v>
      </c>
      <c r="AC2942" s="663" t="s">
        <v>7874</v>
      </c>
      <c r="AD2942" s="663" t="s">
        <v>4938</v>
      </c>
      <c r="AE2942" s="663" t="s">
        <v>5006</v>
      </c>
      <c r="AF2942" s="663" t="s">
        <v>4983</v>
      </c>
    </row>
    <row r="2943" spans="1:32" s="608" customFormat="1" x14ac:dyDescent="0.25">
      <c r="A2943" s="624"/>
      <c r="B2943" s="617">
        <v>39155921200</v>
      </c>
      <c r="C2943" s="617" t="s">
        <v>4611</v>
      </c>
      <c r="D2943" s="617" t="s">
        <v>101</v>
      </c>
      <c r="E2943" s="617" t="s">
        <v>4859</v>
      </c>
      <c r="F2943" s="617" t="s">
        <v>24</v>
      </c>
      <c r="G2943" s="624"/>
      <c r="O2943" s="616"/>
      <c r="P2943" s="616"/>
      <c r="Q2943" s="616"/>
      <c r="AA2943" s="624"/>
      <c r="AB2943" s="663">
        <v>39173021800</v>
      </c>
      <c r="AC2943" s="663" t="s">
        <v>7875</v>
      </c>
      <c r="AD2943" s="663" t="s">
        <v>4948</v>
      </c>
      <c r="AE2943" s="663" t="s">
        <v>4939</v>
      </c>
      <c r="AF2943" s="663" t="s">
        <v>4929</v>
      </c>
    </row>
    <row r="2944" spans="1:32" s="608" customFormat="1" x14ac:dyDescent="0.25">
      <c r="A2944" s="624"/>
      <c r="B2944" s="617">
        <v>39155921300</v>
      </c>
      <c r="C2944" s="617" t="s">
        <v>4612</v>
      </c>
      <c r="D2944" s="617" t="s">
        <v>101</v>
      </c>
      <c r="E2944" s="617" t="s">
        <v>4859</v>
      </c>
      <c r="F2944" s="617" t="s">
        <v>26</v>
      </c>
      <c r="G2944" s="624"/>
      <c r="O2944" s="616"/>
      <c r="P2944" s="616"/>
      <c r="Q2944" s="616"/>
      <c r="AA2944" s="624"/>
      <c r="AB2944" s="663">
        <v>39173021901</v>
      </c>
      <c r="AC2944" s="663" t="s">
        <v>7876</v>
      </c>
      <c r="AD2944" s="663" t="s">
        <v>4938</v>
      </c>
      <c r="AE2944" s="663" t="s">
        <v>4928</v>
      </c>
      <c r="AF2944" s="663" t="s">
        <v>4929</v>
      </c>
    </row>
    <row r="2945" spans="1:32" s="608" customFormat="1" x14ac:dyDescent="0.25">
      <c r="A2945" s="624"/>
      <c r="B2945" s="617">
        <v>39155921400</v>
      </c>
      <c r="C2945" s="617" t="s">
        <v>4613</v>
      </c>
      <c r="D2945" s="617" t="s">
        <v>101</v>
      </c>
      <c r="E2945" s="617" t="s">
        <v>4859</v>
      </c>
      <c r="F2945" s="617" t="s">
        <v>26</v>
      </c>
      <c r="G2945" s="624"/>
      <c r="O2945" s="616"/>
      <c r="P2945" s="616"/>
      <c r="Q2945" s="616"/>
      <c r="AA2945" s="624"/>
      <c r="AB2945" s="663">
        <v>39173021902</v>
      </c>
      <c r="AC2945" s="663" t="s">
        <v>7877</v>
      </c>
      <c r="AD2945" s="663" t="s">
        <v>4938</v>
      </c>
      <c r="AE2945" s="663" t="s">
        <v>4934</v>
      </c>
      <c r="AF2945" s="663" t="s">
        <v>4929</v>
      </c>
    </row>
    <row r="2946" spans="1:32" s="608" customFormat="1" x14ac:dyDescent="0.25">
      <c r="A2946" s="624"/>
      <c r="B2946" s="617">
        <v>39155921500</v>
      </c>
      <c r="C2946" s="617" t="s">
        <v>4614</v>
      </c>
      <c r="D2946" s="617" t="s">
        <v>101</v>
      </c>
      <c r="E2946" s="617" t="s">
        <v>4859</v>
      </c>
      <c r="F2946" s="617" t="s">
        <v>26</v>
      </c>
      <c r="G2946" s="624"/>
      <c r="O2946" s="616"/>
      <c r="P2946" s="616"/>
      <c r="Q2946" s="616"/>
      <c r="AA2946" s="624"/>
      <c r="AB2946" s="663">
        <v>39173022100</v>
      </c>
      <c r="AC2946" s="663" t="s">
        <v>7878</v>
      </c>
      <c r="AD2946" s="663" t="s">
        <v>4948</v>
      </c>
      <c r="AE2946" s="663" t="s">
        <v>4931</v>
      </c>
      <c r="AF2946" s="663" t="s">
        <v>4929</v>
      </c>
    </row>
    <row r="2947" spans="1:32" s="608" customFormat="1" x14ac:dyDescent="0.25">
      <c r="A2947" s="624"/>
      <c r="B2947" s="617">
        <v>39155921600</v>
      </c>
      <c r="C2947" s="617" t="s">
        <v>4615</v>
      </c>
      <c r="D2947" s="617" t="s">
        <v>101</v>
      </c>
      <c r="E2947" s="617" t="s">
        <v>4859</v>
      </c>
      <c r="F2947" s="617" t="s">
        <v>24</v>
      </c>
      <c r="G2947" s="624"/>
      <c r="O2947" s="616"/>
      <c r="P2947" s="616"/>
      <c r="Q2947" s="616"/>
      <c r="AA2947" s="624"/>
      <c r="AB2947" s="663">
        <v>39173022200</v>
      </c>
      <c r="AC2947" s="663" t="s">
        <v>7879</v>
      </c>
      <c r="AD2947" s="663" t="s">
        <v>4927</v>
      </c>
      <c r="AE2947" s="663" t="s">
        <v>4942</v>
      </c>
      <c r="AF2947" s="663" t="s">
        <v>4929</v>
      </c>
    </row>
    <row r="2948" spans="1:32" s="608" customFormat="1" x14ac:dyDescent="0.25">
      <c r="A2948" s="624"/>
      <c r="B2948" s="617">
        <v>39155930101</v>
      </c>
      <c r="C2948" s="617" t="s">
        <v>4616</v>
      </c>
      <c r="D2948" s="617" t="s">
        <v>101</v>
      </c>
      <c r="E2948" s="617" t="s">
        <v>4859</v>
      </c>
      <c r="F2948" s="617" t="s">
        <v>26</v>
      </c>
      <c r="G2948" s="624"/>
      <c r="O2948" s="616"/>
      <c r="P2948" s="616"/>
      <c r="Q2948" s="616"/>
      <c r="AA2948" s="624"/>
      <c r="AB2948" s="663">
        <v>39173022300</v>
      </c>
      <c r="AC2948" s="663" t="s">
        <v>7880</v>
      </c>
      <c r="AD2948" s="663" t="s">
        <v>4948</v>
      </c>
      <c r="AE2948" s="663" t="s">
        <v>4934</v>
      </c>
      <c r="AF2948" s="663" t="s">
        <v>4929</v>
      </c>
    </row>
    <row r="2949" spans="1:32" s="608" customFormat="1" x14ac:dyDescent="0.25">
      <c r="A2949" s="624"/>
      <c r="B2949" s="617">
        <v>39155930102</v>
      </c>
      <c r="C2949" s="617" t="s">
        <v>4617</v>
      </c>
      <c r="D2949" s="617" t="s">
        <v>101</v>
      </c>
      <c r="E2949" s="617" t="s">
        <v>4859</v>
      </c>
      <c r="F2949" s="617" t="s">
        <v>26</v>
      </c>
      <c r="G2949" s="624"/>
      <c r="O2949" s="616"/>
      <c r="P2949" s="616"/>
      <c r="Q2949" s="616"/>
      <c r="AA2949" s="624"/>
      <c r="AB2949" s="663">
        <v>39173022400</v>
      </c>
      <c r="AC2949" s="663" t="s">
        <v>7881</v>
      </c>
      <c r="AD2949" s="663" t="s">
        <v>4948</v>
      </c>
      <c r="AE2949" s="663" t="s">
        <v>4939</v>
      </c>
      <c r="AF2949" s="663" t="s">
        <v>4929</v>
      </c>
    </row>
    <row r="2950" spans="1:32" s="608" customFormat="1" x14ac:dyDescent="0.25">
      <c r="A2950" s="624"/>
      <c r="B2950" s="617">
        <v>39155930200</v>
      </c>
      <c r="C2950" s="617" t="s">
        <v>4618</v>
      </c>
      <c r="D2950" s="617" t="s">
        <v>101</v>
      </c>
      <c r="E2950" s="617" t="s">
        <v>4859</v>
      </c>
      <c r="F2950" s="617" t="s">
        <v>26</v>
      </c>
      <c r="G2950" s="624"/>
      <c r="O2950" s="616"/>
      <c r="P2950" s="616"/>
      <c r="Q2950" s="616"/>
      <c r="AA2950" s="624"/>
      <c r="AB2950" s="663">
        <v>39173022500</v>
      </c>
      <c r="AC2950" s="663" t="s">
        <v>7882</v>
      </c>
      <c r="AD2950" s="663" t="s">
        <v>4938</v>
      </c>
      <c r="AE2950" s="663" t="s">
        <v>4931</v>
      </c>
      <c r="AF2950" s="663" t="s">
        <v>4929</v>
      </c>
    </row>
    <row r="2951" spans="1:32" s="608" customFormat="1" x14ac:dyDescent="0.25">
      <c r="A2951" s="624"/>
      <c r="B2951" s="617">
        <v>39155930300</v>
      </c>
      <c r="C2951" s="617" t="s">
        <v>4619</v>
      </c>
      <c r="D2951" s="617" t="s">
        <v>101</v>
      </c>
      <c r="E2951" s="617" t="s">
        <v>4859</v>
      </c>
      <c r="F2951" s="617" t="s">
        <v>26</v>
      </c>
      <c r="G2951" s="624"/>
      <c r="O2951" s="616"/>
      <c r="P2951" s="616"/>
      <c r="Q2951" s="616"/>
      <c r="AA2951" s="624"/>
      <c r="AB2951" s="663">
        <v>39175938000</v>
      </c>
      <c r="AC2951" s="663" t="s">
        <v>7883</v>
      </c>
      <c r="AD2951" s="663" t="s">
        <v>4941</v>
      </c>
      <c r="AE2951" s="663" t="s">
        <v>4934</v>
      </c>
      <c r="AF2951" s="663" t="s">
        <v>4929</v>
      </c>
    </row>
    <row r="2952" spans="1:32" s="608" customFormat="1" x14ac:dyDescent="0.25">
      <c r="A2952" s="624"/>
      <c r="B2952" s="617">
        <v>39155930400</v>
      </c>
      <c r="C2952" s="617" t="s">
        <v>4620</v>
      </c>
      <c r="D2952" s="617" t="s">
        <v>101</v>
      </c>
      <c r="E2952" s="617" t="s">
        <v>4859</v>
      </c>
      <c r="F2952" s="617" t="s">
        <v>26</v>
      </c>
      <c r="G2952" s="624"/>
      <c r="O2952" s="616"/>
      <c r="P2952" s="616"/>
      <c r="Q2952" s="616"/>
      <c r="AA2952" s="624"/>
      <c r="AB2952" s="663">
        <v>39175938100</v>
      </c>
      <c r="AC2952" s="663" t="s">
        <v>7884</v>
      </c>
      <c r="AD2952" s="663" t="s">
        <v>4948</v>
      </c>
      <c r="AE2952" s="663" t="s">
        <v>4942</v>
      </c>
      <c r="AF2952" s="663" t="s">
        <v>4929</v>
      </c>
    </row>
    <row r="2953" spans="1:32" s="608" customFormat="1" x14ac:dyDescent="0.25">
      <c r="A2953" s="624"/>
      <c r="B2953" s="617">
        <v>39155930500</v>
      </c>
      <c r="C2953" s="617" t="s">
        <v>4621</v>
      </c>
      <c r="D2953" s="617" t="s">
        <v>101</v>
      </c>
      <c r="E2953" s="617" t="s">
        <v>4859</v>
      </c>
      <c r="F2953" s="617" t="s">
        <v>26</v>
      </c>
      <c r="G2953" s="624"/>
      <c r="O2953" s="616"/>
      <c r="P2953" s="616"/>
      <c r="Q2953" s="616"/>
      <c r="AA2953" s="624"/>
      <c r="AB2953" s="663">
        <v>39175938200</v>
      </c>
      <c r="AC2953" s="663" t="s">
        <v>7885</v>
      </c>
      <c r="AD2953" s="663" t="s">
        <v>4948</v>
      </c>
      <c r="AE2953" s="663" t="s">
        <v>4931</v>
      </c>
      <c r="AF2953" s="663" t="s">
        <v>4929</v>
      </c>
    </row>
    <row r="2954" spans="1:32" s="608" customFormat="1" x14ac:dyDescent="0.25">
      <c r="A2954" s="624"/>
      <c r="B2954" s="617">
        <v>39155930600</v>
      </c>
      <c r="C2954" s="617" t="s">
        <v>4622</v>
      </c>
      <c r="D2954" s="617" t="s">
        <v>101</v>
      </c>
      <c r="E2954" s="617" t="s">
        <v>4859</v>
      </c>
      <c r="F2954" s="617" t="s">
        <v>26</v>
      </c>
      <c r="G2954" s="624"/>
      <c r="O2954" s="616"/>
      <c r="P2954" s="616"/>
      <c r="Q2954" s="616"/>
      <c r="AA2954" s="624"/>
      <c r="AB2954" s="663">
        <v>39175938300</v>
      </c>
      <c r="AC2954" s="663" t="s">
        <v>7886</v>
      </c>
      <c r="AD2954" s="663" t="s">
        <v>4941</v>
      </c>
      <c r="AE2954" s="663" t="s">
        <v>4942</v>
      </c>
      <c r="AF2954" s="663" t="s">
        <v>4929</v>
      </c>
    </row>
    <row r="2955" spans="1:32" s="608" customFormat="1" x14ac:dyDescent="0.25">
      <c r="A2955" s="624"/>
      <c r="B2955" s="617">
        <v>39155930700</v>
      </c>
      <c r="C2955" s="617" t="s">
        <v>4623</v>
      </c>
      <c r="D2955" s="617" t="s">
        <v>101</v>
      </c>
      <c r="E2955" s="617" t="s">
        <v>4859</v>
      </c>
      <c r="F2955" s="617" t="s">
        <v>26</v>
      </c>
      <c r="G2955" s="624"/>
      <c r="O2955" s="616"/>
      <c r="P2955" s="616"/>
      <c r="Q2955" s="616"/>
      <c r="AA2955" s="624"/>
      <c r="AB2955" s="663">
        <v>39175938400</v>
      </c>
      <c r="AC2955" s="663" t="s">
        <v>7887</v>
      </c>
      <c r="AD2955" s="663" t="s">
        <v>4938</v>
      </c>
      <c r="AE2955" s="663" t="s">
        <v>4939</v>
      </c>
      <c r="AF2955" s="663" t="s">
        <v>4929</v>
      </c>
    </row>
    <row r="2956" spans="1:32" s="608" customFormat="1" x14ac:dyDescent="0.25">
      <c r="A2956" s="624"/>
      <c r="B2956" s="617">
        <v>39155930800</v>
      </c>
      <c r="C2956" s="617" t="s">
        <v>4624</v>
      </c>
      <c r="D2956" s="617" t="s">
        <v>101</v>
      </c>
      <c r="E2956" s="617" t="s">
        <v>4859</v>
      </c>
      <c r="F2956" s="617" t="s">
        <v>26</v>
      </c>
      <c r="G2956" s="624"/>
      <c r="O2956" s="616"/>
      <c r="P2956" s="616"/>
      <c r="Q2956" s="616"/>
      <c r="AA2956" s="624"/>
      <c r="AB2956" s="663">
        <v>39175938500</v>
      </c>
      <c r="AC2956" s="663" t="s">
        <v>7888</v>
      </c>
      <c r="AD2956" s="663" t="s">
        <v>4948</v>
      </c>
      <c r="AE2956" s="663" t="s">
        <v>4942</v>
      </c>
      <c r="AF2956" s="663" t="s">
        <v>4929</v>
      </c>
    </row>
    <row r="2957" spans="1:32" s="608" customFormat="1" x14ac:dyDescent="0.25">
      <c r="A2957" s="624"/>
      <c r="B2957" s="617">
        <v>39155930900</v>
      </c>
      <c r="C2957" s="617" t="s">
        <v>4625</v>
      </c>
      <c r="D2957" s="617" t="s">
        <v>101</v>
      </c>
      <c r="E2957" s="617" t="s">
        <v>4859</v>
      </c>
      <c r="F2957" s="617" t="s">
        <v>26</v>
      </c>
      <c r="G2957" s="624"/>
      <c r="O2957" s="616"/>
      <c r="P2957" s="616"/>
      <c r="Q2957" s="616"/>
    </row>
    <row r="2958" spans="1:32" s="608" customFormat="1" x14ac:dyDescent="0.25">
      <c r="A2958" s="624"/>
      <c r="B2958" s="617">
        <v>39155931000</v>
      </c>
      <c r="C2958" s="617" t="s">
        <v>4626</v>
      </c>
      <c r="D2958" s="617" t="s">
        <v>101</v>
      </c>
      <c r="E2958" s="617" t="s">
        <v>4859</v>
      </c>
      <c r="F2958" s="617" t="s">
        <v>26</v>
      </c>
      <c r="G2958" s="624"/>
      <c r="O2958" s="616"/>
      <c r="P2958" s="616"/>
      <c r="Q2958" s="616"/>
    </row>
    <row r="2959" spans="1:32" s="608" customFormat="1" x14ac:dyDescent="0.25">
      <c r="A2959" s="624"/>
      <c r="B2959" s="617">
        <v>39155931100</v>
      </c>
      <c r="C2959" s="617" t="s">
        <v>4627</v>
      </c>
      <c r="D2959" s="617" t="s">
        <v>101</v>
      </c>
      <c r="E2959" s="617" t="s">
        <v>4859</v>
      </c>
      <c r="F2959" s="617" t="s">
        <v>26</v>
      </c>
      <c r="G2959" s="624"/>
      <c r="O2959" s="616"/>
      <c r="P2959" s="616"/>
      <c r="Q2959" s="616"/>
    </row>
    <row r="2960" spans="1:32" s="608" customFormat="1" x14ac:dyDescent="0.25">
      <c r="A2960" s="624"/>
      <c r="B2960" s="617">
        <v>39155931200</v>
      </c>
      <c r="C2960" s="617" t="s">
        <v>4628</v>
      </c>
      <c r="D2960" s="617" t="s">
        <v>101</v>
      </c>
      <c r="E2960" s="617" t="s">
        <v>4859</v>
      </c>
      <c r="F2960" s="617" t="s">
        <v>26</v>
      </c>
      <c r="G2960" s="624"/>
      <c r="O2960" s="616"/>
      <c r="P2960" s="616"/>
      <c r="Q2960" s="616"/>
    </row>
    <row r="2961" spans="1:17" s="608" customFormat="1" x14ac:dyDescent="0.25">
      <c r="A2961" s="624"/>
      <c r="B2961" s="617">
        <v>39155931300</v>
      </c>
      <c r="C2961" s="617" t="s">
        <v>4629</v>
      </c>
      <c r="D2961" s="617" t="s">
        <v>101</v>
      </c>
      <c r="E2961" s="617" t="s">
        <v>4859</v>
      </c>
      <c r="F2961" s="617" t="s">
        <v>26</v>
      </c>
      <c r="G2961" s="624"/>
      <c r="O2961" s="616"/>
      <c r="P2961" s="616"/>
      <c r="Q2961" s="616"/>
    </row>
    <row r="2962" spans="1:17" s="608" customFormat="1" x14ac:dyDescent="0.25">
      <c r="A2962" s="624"/>
      <c r="B2962" s="617">
        <v>39155931400</v>
      </c>
      <c r="C2962" s="617" t="s">
        <v>4630</v>
      </c>
      <c r="D2962" s="617" t="s">
        <v>101</v>
      </c>
      <c r="E2962" s="617" t="s">
        <v>4859</v>
      </c>
      <c r="F2962" s="617" t="s">
        <v>24</v>
      </c>
      <c r="G2962" s="624"/>
      <c r="O2962" s="616"/>
      <c r="P2962" s="616"/>
      <c r="Q2962" s="616"/>
    </row>
    <row r="2963" spans="1:17" s="608" customFormat="1" x14ac:dyDescent="0.25">
      <c r="A2963" s="624"/>
      <c r="B2963" s="617">
        <v>39155931500</v>
      </c>
      <c r="C2963" s="617" t="s">
        <v>4631</v>
      </c>
      <c r="D2963" s="617" t="s">
        <v>101</v>
      </c>
      <c r="E2963" s="617" t="s">
        <v>4859</v>
      </c>
      <c r="F2963" s="617" t="s">
        <v>26</v>
      </c>
      <c r="G2963" s="624"/>
      <c r="O2963" s="616"/>
      <c r="P2963" s="616"/>
      <c r="Q2963" s="616"/>
    </row>
    <row r="2964" spans="1:17" s="608" customFormat="1" x14ac:dyDescent="0.25">
      <c r="A2964" s="624"/>
      <c r="B2964" s="617">
        <v>39155931601</v>
      </c>
      <c r="C2964" s="617" t="s">
        <v>4632</v>
      </c>
      <c r="D2964" s="617" t="s">
        <v>101</v>
      </c>
      <c r="E2964" s="617" t="s">
        <v>4859</v>
      </c>
      <c r="F2964" s="617" t="s">
        <v>26</v>
      </c>
      <c r="G2964" s="624"/>
      <c r="O2964" s="616"/>
      <c r="P2964" s="616"/>
      <c r="Q2964" s="616"/>
    </row>
    <row r="2965" spans="1:17" s="608" customFormat="1" x14ac:dyDescent="0.25">
      <c r="A2965" s="624"/>
      <c r="B2965" s="617">
        <v>39155931602</v>
      </c>
      <c r="C2965" s="617" t="s">
        <v>4633</v>
      </c>
      <c r="D2965" s="617" t="s">
        <v>101</v>
      </c>
      <c r="E2965" s="617" t="s">
        <v>4859</v>
      </c>
      <c r="F2965" s="617" t="s">
        <v>26</v>
      </c>
      <c r="G2965" s="624"/>
      <c r="O2965" s="616"/>
      <c r="P2965" s="616"/>
      <c r="Q2965" s="616"/>
    </row>
    <row r="2966" spans="1:17" s="608" customFormat="1" x14ac:dyDescent="0.25">
      <c r="A2966" s="624"/>
      <c r="B2966" s="617">
        <v>39155931700</v>
      </c>
      <c r="C2966" s="617" t="s">
        <v>4634</v>
      </c>
      <c r="D2966" s="617" t="s">
        <v>101</v>
      </c>
      <c r="E2966" s="617" t="s">
        <v>4859</v>
      </c>
      <c r="F2966" s="617" t="s">
        <v>26</v>
      </c>
      <c r="G2966" s="624"/>
      <c r="O2966" s="616"/>
      <c r="P2966" s="616"/>
      <c r="Q2966" s="616"/>
    </row>
    <row r="2967" spans="1:17" s="608" customFormat="1" x14ac:dyDescent="0.25">
      <c r="A2967" s="624"/>
      <c r="B2967" s="617">
        <v>39155931900</v>
      </c>
      <c r="C2967" s="617" t="s">
        <v>4635</v>
      </c>
      <c r="D2967" s="617" t="s">
        <v>101</v>
      </c>
      <c r="E2967" s="617" t="s">
        <v>4859</v>
      </c>
      <c r="F2967" s="617" t="s">
        <v>26</v>
      </c>
      <c r="G2967" s="624"/>
      <c r="O2967" s="616"/>
      <c r="P2967" s="616"/>
      <c r="Q2967" s="616"/>
    </row>
    <row r="2968" spans="1:17" s="608" customFormat="1" x14ac:dyDescent="0.25">
      <c r="A2968" s="624"/>
      <c r="B2968" s="617">
        <v>39155932000</v>
      </c>
      <c r="C2968" s="617" t="s">
        <v>4636</v>
      </c>
      <c r="D2968" s="617" t="s">
        <v>101</v>
      </c>
      <c r="E2968" s="617" t="s">
        <v>4859</v>
      </c>
      <c r="F2968" s="617" t="s">
        <v>26</v>
      </c>
      <c r="G2968" s="624"/>
      <c r="O2968" s="616"/>
      <c r="P2968" s="616"/>
      <c r="Q2968" s="616"/>
    </row>
    <row r="2969" spans="1:17" s="608" customFormat="1" x14ac:dyDescent="0.25">
      <c r="A2969" s="624"/>
      <c r="B2969" s="617">
        <v>39155932200</v>
      </c>
      <c r="C2969" s="617" t="s">
        <v>4637</v>
      </c>
      <c r="D2969" s="617" t="s">
        <v>101</v>
      </c>
      <c r="E2969" s="617" t="s">
        <v>4859</v>
      </c>
      <c r="F2969" s="617" t="s">
        <v>26</v>
      </c>
      <c r="G2969" s="624"/>
      <c r="O2969" s="616"/>
      <c r="P2969" s="616"/>
      <c r="Q2969" s="616"/>
    </row>
    <row r="2970" spans="1:17" s="608" customFormat="1" x14ac:dyDescent="0.25">
      <c r="A2970" s="624"/>
      <c r="B2970" s="617">
        <v>39155932300</v>
      </c>
      <c r="C2970" s="617" t="s">
        <v>4638</v>
      </c>
      <c r="D2970" s="617" t="s">
        <v>101</v>
      </c>
      <c r="E2970" s="617" t="s">
        <v>4859</v>
      </c>
      <c r="F2970" s="617" t="s">
        <v>26</v>
      </c>
      <c r="G2970" s="624"/>
      <c r="O2970" s="616"/>
      <c r="P2970" s="616"/>
      <c r="Q2970" s="616"/>
    </row>
    <row r="2971" spans="1:17" s="608" customFormat="1" x14ac:dyDescent="0.25">
      <c r="A2971" s="624"/>
      <c r="B2971" s="617">
        <v>39155932500</v>
      </c>
      <c r="C2971" s="617" t="s">
        <v>4639</v>
      </c>
      <c r="D2971" s="617" t="s">
        <v>101</v>
      </c>
      <c r="E2971" s="617" t="s">
        <v>4859</v>
      </c>
      <c r="F2971" s="617" t="s">
        <v>26</v>
      </c>
      <c r="G2971" s="624"/>
      <c r="O2971" s="616"/>
      <c r="P2971" s="616"/>
      <c r="Q2971" s="616"/>
    </row>
    <row r="2972" spans="1:17" s="608" customFormat="1" x14ac:dyDescent="0.25">
      <c r="A2972" s="624"/>
      <c r="B2972" s="617">
        <v>39155932600</v>
      </c>
      <c r="C2972" s="617" t="s">
        <v>4640</v>
      </c>
      <c r="D2972" s="617" t="s">
        <v>101</v>
      </c>
      <c r="E2972" s="617" t="s">
        <v>4859</v>
      </c>
      <c r="F2972" s="617" t="s">
        <v>26</v>
      </c>
      <c r="G2972" s="624"/>
      <c r="O2972" s="616"/>
      <c r="P2972" s="616"/>
      <c r="Q2972" s="616"/>
    </row>
    <row r="2973" spans="1:17" s="608" customFormat="1" x14ac:dyDescent="0.25">
      <c r="A2973" s="624"/>
      <c r="B2973" s="617">
        <v>39155932701</v>
      </c>
      <c r="C2973" s="617" t="s">
        <v>4641</v>
      </c>
      <c r="D2973" s="617" t="s">
        <v>101</v>
      </c>
      <c r="E2973" s="617" t="s">
        <v>4859</v>
      </c>
      <c r="F2973" s="617" t="s">
        <v>26</v>
      </c>
      <c r="G2973" s="624"/>
      <c r="O2973" s="616"/>
      <c r="P2973" s="616"/>
      <c r="Q2973" s="616"/>
    </row>
    <row r="2974" spans="1:17" s="608" customFormat="1" x14ac:dyDescent="0.25">
      <c r="A2974" s="624"/>
      <c r="B2974" s="617">
        <v>39155932702</v>
      </c>
      <c r="C2974" s="617" t="s">
        <v>4642</v>
      </c>
      <c r="D2974" s="617" t="s">
        <v>101</v>
      </c>
      <c r="E2974" s="617" t="s">
        <v>4859</v>
      </c>
      <c r="F2974" s="617" t="s">
        <v>26</v>
      </c>
      <c r="G2974" s="624"/>
      <c r="O2974" s="616"/>
      <c r="P2974" s="616"/>
      <c r="Q2974" s="616"/>
    </row>
    <row r="2975" spans="1:17" s="608" customFormat="1" x14ac:dyDescent="0.25">
      <c r="A2975" s="624"/>
      <c r="B2975" s="617">
        <v>39155932801</v>
      </c>
      <c r="C2975" s="617" t="s">
        <v>4643</v>
      </c>
      <c r="D2975" s="617" t="s">
        <v>101</v>
      </c>
      <c r="E2975" s="617" t="s">
        <v>4859</v>
      </c>
      <c r="F2975" s="617" t="s">
        <v>26</v>
      </c>
      <c r="G2975" s="624"/>
      <c r="O2975" s="616"/>
      <c r="P2975" s="616"/>
      <c r="Q2975" s="616"/>
    </row>
    <row r="2976" spans="1:17" s="608" customFormat="1" x14ac:dyDescent="0.25">
      <c r="A2976" s="624"/>
      <c r="B2976" s="617">
        <v>39155932802</v>
      </c>
      <c r="C2976" s="617" t="s">
        <v>4644</v>
      </c>
      <c r="D2976" s="617" t="s">
        <v>101</v>
      </c>
      <c r="E2976" s="617" t="s">
        <v>4859</v>
      </c>
      <c r="F2976" s="617" t="s">
        <v>26</v>
      </c>
      <c r="G2976" s="624"/>
      <c r="O2976" s="616"/>
      <c r="P2976" s="616"/>
      <c r="Q2976" s="616"/>
    </row>
    <row r="2977" spans="1:17" s="608" customFormat="1" x14ac:dyDescent="0.25">
      <c r="A2977" s="624"/>
      <c r="B2977" s="617">
        <v>39155932900</v>
      </c>
      <c r="C2977" s="617" t="s">
        <v>4645</v>
      </c>
      <c r="D2977" s="617" t="s">
        <v>101</v>
      </c>
      <c r="E2977" s="617" t="s">
        <v>4859</v>
      </c>
      <c r="F2977" s="617" t="s">
        <v>26</v>
      </c>
      <c r="G2977" s="624"/>
      <c r="O2977" s="616"/>
      <c r="P2977" s="616"/>
      <c r="Q2977" s="616"/>
    </row>
    <row r="2978" spans="1:17" s="608" customFormat="1" x14ac:dyDescent="0.25">
      <c r="A2978" s="624"/>
      <c r="B2978" s="617">
        <v>39155933001</v>
      </c>
      <c r="C2978" s="617" t="s">
        <v>4646</v>
      </c>
      <c r="D2978" s="617" t="s">
        <v>101</v>
      </c>
      <c r="E2978" s="617" t="s">
        <v>4859</v>
      </c>
      <c r="F2978" s="617" t="s">
        <v>26</v>
      </c>
      <c r="G2978" s="624"/>
      <c r="O2978" s="616"/>
      <c r="P2978" s="616"/>
      <c r="Q2978" s="616"/>
    </row>
    <row r="2979" spans="1:17" s="608" customFormat="1" x14ac:dyDescent="0.25">
      <c r="A2979" s="624"/>
      <c r="B2979" s="617">
        <v>39155933002</v>
      </c>
      <c r="C2979" s="617" t="s">
        <v>4647</v>
      </c>
      <c r="D2979" s="617" t="s">
        <v>101</v>
      </c>
      <c r="E2979" s="617" t="s">
        <v>4859</v>
      </c>
      <c r="F2979" s="617" t="s">
        <v>26</v>
      </c>
      <c r="G2979" s="624"/>
      <c r="O2979" s="616"/>
      <c r="P2979" s="616"/>
      <c r="Q2979" s="616"/>
    </row>
    <row r="2980" spans="1:17" s="608" customFormat="1" x14ac:dyDescent="0.25">
      <c r="A2980" s="624"/>
      <c r="B2980" s="617">
        <v>39155933100</v>
      </c>
      <c r="C2980" s="617" t="s">
        <v>4648</v>
      </c>
      <c r="D2980" s="617" t="s">
        <v>101</v>
      </c>
      <c r="E2980" s="617" t="s">
        <v>4859</v>
      </c>
      <c r="F2980" s="617" t="s">
        <v>24</v>
      </c>
      <c r="G2980" s="624"/>
      <c r="O2980" s="616"/>
      <c r="P2980" s="616"/>
      <c r="Q2980" s="616"/>
    </row>
    <row r="2981" spans="1:17" s="608" customFormat="1" x14ac:dyDescent="0.25">
      <c r="A2981" s="624"/>
      <c r="B2981" s="617">
        <v>39155933301</v>
      </c>
      <c r="C2981" s="617" t="s">
        <v>4649</v>
      </c>
      <c r="D2981" s="617" t="s">
        <v>101</v>
      </c>
      <c r="E2981" s="617" t="s">
        <v>4859</v>
      </c>
      <c r="F2981" s="617" t="s">
        <v>26</v>
      </c>
      <c r="G2981" s="624"/>
      <c r="O2981" s="616"/>
      <c r="P2981" s="616"/>
      <c r="Q2981" s="616"/>
    </row>
    <row r="2982" spans="1:17" s="608" customFormat="1" x14ac:dyDescent="0.25">
      <c r="A2982" s="624"/>
      <c r="B2982" s="617">
        <v>39155933302</v>
      </c>
      <c r="C2982" s="617" t="s">
        <v>4650</v>
      </c>
      <c r="D2982" s="617" t="s">
        <v>101</v>
      </c>
      <c r="E2982" s="617" t="s">
        <v>4859</v>
      </c>
      <c r="F2982" s="617" t="s">
        <v>26</v>
      </c>
      <c r="G2982" s="624"/>
      <c r="O2982" s="616"/>
      <c r="P2982" s="616"/>
      <c r="Q2982" s="616"/>
    </row>
    <row r="2983" spans="1:17" s="608" customFormat="1" x14ac:dyDescent="0.25">
      <c r="A2983" s="624"/>
      <c r="B2983" s="617">
        <v>39155933400</v>
      </c>
      <c r="C2983" s="617" t="s">
        <v>4651</v>
      </c>
      <c r="D2983" s="617" t="s">
        <v>101</v>
      </c>
      <c r="E2983" s="617" t="s">
        <v>4859</v>
      </c>
      <c r="F2983" s="617" t="s">
        <v>26</v>
      </c>
      <c r="G2983" s="624"/>
      <c r="O2983" s="616"/>
      <c r="P2983" s="616"/>
      <c r="Q2983" s="616"/>
    </row>
    <row r="2984" spans="1:17" s="608" customFormat="1" x14ac:dyDescent="0.25">
      <c r="A2984" s="624"/>
      <c r="B2984" s="617">
        <v>39155933500</v>
      </c>
      <c r="C2984" s="617" t="s">
        <v>4652</v>
      </c>
      <c r="D2984" s="617" t="s">
        <v>101</v>
      </c>
      <c r="E2984" s="617" t="s">
        <v>4859</v>
      </c>
      <c r="F2984" s="617" t="s">
        <v>26</v>
      </c>
      <c r="G2984" s="624"/>
      <c r="O2984" s="616"/>
      <c r="P2984" s="616"/>
      <c r="Q2984" s="616"/>
    </row>
    <row r="2985" spans="1:17" s="608" customFormat="1" x14ac:dyDescent="0.25">
      <c r="A2985" s="624"/>
      <c r="B2985" s="617">
        <v>39155933600</v>
      </c>
      <c r="C2985" s="617" t="s">
        <v>4653</v>
      </c>
      <c r="D2985" s="617" t="s">
        <v>101</v>
      </c>
      <c r="E2985" s="617" t="s">
        <v>4859</v>
      </c>
      <c r="F2985" s="617" t="s">
        <v>26</v>
      </c>
      <c r="G2985" s="624"/>
      <c r="O2985" s="616"/>
      <c r="P2985" s="616"/>
      <c r="Q2985" s="616"/>
    </row>
    <row r="2986" spans="1:17" s="608" customFormat="1" x14ac:dyDescent="0.25">
      <c r="A2986" s="624"/>
      <c r="B2986" s="617">
        <v>39155933700</v>
      </c>
      <c r="C2986" s="617" t="s">
        <v>4654</v>
      </c>
      <c r="D2986" s="617" t="s">
        <v>101</v>
      </c>
      <c r="E2986" s="617" t="s">
        <v>4859</v>
      </c>
      <c r="F2986" s="617" t="s">
        <v>26</v>
      </c>
      <c r="G2986" s="624"/>
      <c r="O2986" s="616"/>
      <c r="P2986" s="616"/>
      <c r="Q2986" s="616"/>
    </row>
    <row r="2987" spans="1:17" s="608" customFormat="1" x14ac:dyDescent="0.25">
      <c r="A2987" s="624"/>
      <c r="B2987" s="617">
        <v>39155933800</v>
      </c>
      <c r="C2987" s="617" t="s">
        <v>4655</v>
      </c>
      <c r="D2987" s="617" t="s">
        <v>101</v>
      </c>
      <c r="E2987" s="617" t="s">
        <v>4859</v>
      </c>
      <c r="F2987" s="617" t="s">
        <v>24</v>
      </c>
      <c r="G2987" s="624"/>
      <c r="O2987" s="616"/>
      <c r="P2987" s="616"/>
      <c r="Q2987" s="616"/>
    </row>
    <row r="2988" spans="1:17" s="608" customFormat="1" x14ac:dyDescent="0.25">
      <c r="A2988" s="624"/>
      <c r="B2988" s="617">
        <v>39155933900</v>
      </c>
      <c r="C2988" s="617" t="s">
        <v>4656</v>
      </c>
      <c r="D2988" s="617" t="s">
        <v>101</v>
      </c>
      <c r="E2988" s="617" t="s">
        <v>4859</v>
      </c>
      <c r="F2988" s="617" t="s">
        <v>24</v>
      </c>
      <c r="G2988" s="624"/>
      <c r="O2988" s="616"/>
      <c r="P2988" s="616"/>
      <c r="Q2988" s="616"/>
    </row>
    <row r="2989" spans="1:17" s="608" customFormat="1" x14ac:dyDescent="0.25">
      <c r="A2989" s="624"/>
      <c r="B2989" s="617">
        <v>39155934000</v>
      </c>
      <c r="C2989" s="617" t="s">
        <v>4657</v>
      </c>
      <c r="D2989" s="617" t="s">
        <v>101</v>
      </c>
      <c r="E2989" s="617" t="s">
        <v>4859</v>
      </c>
      <c r="F2989" s="617" t="s">
        <v>24</v>
      </c>
      <c r="G2989" s="624"/>
      <c r="O2989" s="616"/>
      <c r="P2989" s="616"/>
      <c r="Q2989" s="616"/>
    </row>
    <row r="2990" spans="1:17" s="608" customFormat="1" x14ac:dyDescent="0.25">
      <c r="A2990" s="624"/>
      <c r="B2990" s="617">
        <v>39157020100</v>
      </c>
      <c r="C2990" s="617" t="s">
        <v>4658</v>
      </c>
      <c r="D2990" s="617" t="s">
        <v>102</v>
      </c>
      <c r="E2990" s="617" t="s">
        <v>1672</v>
      </c>
      <c r="F2990" s="617" t="s">
        <v>26</v>
      </c>
      <c r="G2990" s="624"/>
      <c r="O2990" s="616"/>
      <c r="P2990" s="616"/>
      <c r="Q2990" s="616"/>
    </row>
    <row r="2991" spans="1:17" s="608" customFormat="1" x14ac:dyDescent="0.25">
      <c r="A2991" s="624"/>
      <c r="B2991" s="617">
        <v>39157020200</v>
      </c>
      <c r="C2991" s="617" t="s">
        <v>4659</v>
      </c>
      <c r="D2991" s="617" t="s">
        <v>102</v>
      </c>
      <c r="E2991" s="617" t="s">
        <v>1672</v>
      </c>
      <c r="F2991" s="617" t="s">
        <v>26</v>
      </c>
      <c r="G2991" s="624"/>
      <c r="O2991" s="616"/>
      <c r="P2991" s="616"/>
      <c r="Q2991" s="616"/>
    </row>
    <row r="2992" spans="1:17" s="608" customFormat="1" x14ac:dyDescent="0.25">
      <c r="A2992" s="624"/>
      <c r="B2992" s="617">
        <v>39157020300</v>
      </c>
      <c r="C2992" s="617" t="s">
        <v>4660</v>
      </c>
      <c r="D2992" s="617" t="s">
        <v>102</v>
      </c>
      <c r="E2992" s="617" t="s">
        <v>1672</v>
      </c>
      <c r="F2992" s="617" t="s">
        <v>26</v>
      </c>
      <c r="G2992" s="624"/>
      <c r="O2992" s="616"/>
      <c r="P2992" s="616"/>
      <c r="Q2992" s="616"/>
    </row>
    <row r="2993" spans="1:17" s="608" customFormat="1" x14ac:dyDescent="0.25">
      <c r="A2993" s="624"/>
      <c r="B2993" s="617">
        <v>39157020400</v>
      </c>
      <c r="C2993" s="617" t="s">
        <v>4661</v>
      </c>
      <c r="D2993" s="617" t="s">
        <v>102</v>
      </c>
      <c r="E2993" s="617" t="s">
        <v>1672</v>
      </c>
      <c r="F2993" s="617" t="s">
        <v>26</v>
      </c>
      <c r="G2993" s="624"/>
      <c r="O2993" s="616"/>
      <c r="P2993" s="616"/>
      <c r="Q2993" s="616"/>
    </row>
    <row r="2994" spans="1:17" s="608" customFormat="1" x14ac:dyDescent="0.25">
      <c r="A2994" s="624"/>
      <c r="B2994" s="617">
        <v>39157020500</v>
      </c>
      <c r="C2994" s="617" t="s">
        <v>4662</v>
      </c>
      <c r="D2994" s="617" t="s">
        <v>102</v>
      </c>
      <c r="E2994" s="617" t="s">
        <v>1672</v>
      </c>
      <c r="F2994" s="617" t="s">
        <v>26</v>
      </c>
      <c r="G2994" s="624"/>
      <c r="O2994" s="616"/>
      <c r="P2994" s="616"/>
      <c r="Q2994" s="616"/>
    </row>
    <row r="2995" spans="1:17" s="608" customFormat="1" x14ac:dyDescent="0.25">
      <c r="A2995" s="624"/>
      <c r="B2995" s="617">
        <v>39157020600</v>
      </c>
      <c r="C2995" s="617" t="s">
        <v>4663</v>
      </c>
      <c r="D2995" s="617" t="s">
        <v>102</v>
      </c>
      <c r="E2995" s="617" t="s">
        <v>1672</v>
      </c>
      <c r="F2995" s="617" t="s">
        <v>26</v>
      </c>
      <c r="G2995" s="624"/>
      <c r="O2995" s="616"/>
      <c r="P2995" s="616"/>
      <c r="Q2995" s="616"/>
    </row>
    <row r="2996" spans="1:17" s="608" customFormat="1" x14ac:dyDescent="0.25">
      <c r="A2996" s="624"/>
      <c r="B2996" s="617">
        <v>39157020700</v>
      </c>
      <c r="C2996" s="617" t="s">
        <v>4664</v>
      </c>
      <c r="D2996" s="617" t="s">
        <v>102</v>
      </c>
      <c r="E2996" s="617" t="s">
        <v>1672</v>
      </c>
      <c r="F2996" s="617" t="s">
        <v>26</v>
      </c>
      <c r="G2996" s="624"/>
      <c r="O2996" s="616"/>
      <c r="P2996" s="616"/>
      <c r="Q2996" s="616"/>
    </row>
    <row r="2997" spans="1:17" s="608" customFormat="1" x14ac:dyDescent="0.25">
      <c r="A2997" s="624"/>
      <c r="B2997" s="617">
        <v>39157020801</v>
      </c>
      <c r="C2997" s="617" t="s">
        <v>4665</v>
      </c>
      <c r="D2997" s="617" t="s">
        <v>102</v>
      </c>
      <c r="E2997" s="617" t="s">
        <v>1672</v>
      </c>
      <c r="F2997" s="617" t="s">
        <v>24</v>
      </c>
      <c r="G2997" s="624"/>
      <c r="O2997" s="616"/>
      <c r="P2997" s="616"/>
      <c r="Q2997" s="616"/>
    </row>
    <row r="2998" spans="1:17" s="608" customFormat="1" x14ac:dyDescent="0.25">
      <c r="A2998" s="624"/>
      <c r="B2998" s="617">
        <v>39157020802</v>
      </c>
      <c r="C2998" s="617" t="s">
        <v>4666</v>
      </c>
      <c r="D2998" s="617" t="s">
        <v>102</v>
      </c>
      <c r="E2998" s="617" t="s">
        <v>1672</v>
      </c>
      <c r="F2998" s="617" t="s">
        <v>24</v>
      </c>
      <c r="G2998" s="624"/>
      <c r="O2998" s="616"/>
      <c r="P2998" s="616"/>
      <c r="Q2998" s="616"/>
    </row>
    <row r="2999" spans="1:17" s="608" customFormat="1" x14ac:dyDescent="0.25">
      <c r="A2999" s="624"/>
      <c r="B2999" s="617">
        <v>39157020900</v>
      </c>
      <c r="C2999" s="617" t="s">
        <v>4667</v>
      </c>
      <c r="D2999" s="617" t="s">
        <v>102</v>
      </c>
      <c r="E2999" s="617" t="s">
        <v>1672</v>
      </c>
      <c r="F2999" s="617" t="s">
        <v>26</v>
      </c>
      <c r="G2999" s="624"/>
      <c r="O2999" s="616"/>
      <c r="P2999" s="616"/>
      <c r="Q2999" s="616"/>
    </row>
    <row r="3000" spans="1:17" s="608" customFormat="1" x14ac:dyDescent="0.25">
      <c r="A3000" s="624"/>
      <c r="B3000" s="617">
        <v>39157021000</v>
      </c>
      <c r="C3000" s="617" t="s">
        <v>4668</v>
      </c>
      <c r="D3000" s="617" t="s">
        <v>102</v>
      </c>
      <c r="E3000" s="617" t="s">
        <v>1672</v>
      </c>
      <c r="F3000" s="617" t="s">
        <v>26</v>
      </c>
      <c r="G3000" s="624"/>
      <c r="O3000" s="616"/>
      <c r="P3000" s="616"/>
      <c r="Q3000" s="616"/>
    </row>
    <row r="3001" spans="1:17" s="608" customFormat="1" x14ac:dyDescent="0.25">
      <c r="A3001" s="624"/>
      <c r="B3001" s="617">
        <v>39157021100</v>
      </c>
      <c r="C3001" s="617" t="s">
        <v>4669</v>
      </c>
      <c r="D3001" s="617" t="s">
        <v>102</v>
      </c>
      <c r="E3001" s="617" t="s">
        <v>1672</v>
      </c>
      <c r="F3001" s="617" t="s">
        <v>26</v>
      </c>
      <c r="G3001" s="624"/>
      <c r="O3001" s="616"/>
      <c r="P3001" s="616"/>
      <c r="Q3001" s="616"/>
    </row>
    <row r="3002" spans="1:17" s="608" customFormat="1" x14ac:dyDescent="0.25">
      <c r="A3002" s="624"/>
      <c r="B3002" s="617">
        <v>39157021200</v>
      </c>
      <c r="C3002" s="617" t="s">
        <v>4670</v>
      </c>
      <c r="D3002" s="617" t="s">
        <v>102</v>
      </c>
      <c r="E3002" s="617" t="s">
        <v>1672</v>
      </c>
      <c r="F3002" s="617" t="s">
        <v>26</v>
      </c>
      <c r="G3002" s="624"/>
      <c r="O3002" s="616"/>
      <c r="P3002" s="616"/>
      <c r="Q3002" s="616"/>
    </row>
    <row r="3003" spans="1:17" s="608" customFormat="1" x14ac:dyDescent="0.25">
      <c r="A3003" s="624"/>
      <c r="B3003" s="617">
        <v>39157021300</v>
      </c>
      <c r="C3003" s="617" t="s">
        <v>4671</v>
      </c>
      <c r="D3003" s="617" t="s">
        <v>102</v>
      </c>
      <c r="E3003" s="617" t="s">
        <v>1672</v>
      </c>
      <c r="F3003" s="617" t="s">
        <v>26</v>
      </c>
      <c r="G3003" s="624"/>
      <c r="O3003" s="616"/>
      <c r="P3003" s="616"/>
      <c r="Q3003" s="616"/>
    </row>
    <row r="3004" spans="1:17" s="608" customFormat="1" x14ac:dyDescent="0.25">
      <c r="A3004" s="624"/>
      <c r="B3004" s="617">
        <v>39157021400</v>
      </c>
      <c r="C3004" s="617" t="s">
        <v>4672</v>
      </c>
      <c r="D3004" s="617" t="s">
        <v>102</v>
      </c>
      <c r="E3004" s="617" t="s">
        <v>1672</v>
      </c>
      <c r="F3004" s="617" t="s">
        <v>26</v>
      </c>
      <c r="G3004" s="624"/>
      <c r="O3004" s="616"/>
      <c r="P3004" s="616"/>
      <c r="Q3004" s="616"/>
    </row>
    <row r="3005" spans="1:17" s="608" customFormat="1" x14ac:dyDescent="0.25">
      <c r="A3005" s="624"/>
      <c r="B3005" s="617">
        <v>39157021501</v>
      </c>
      <c r="C3005" s="617" t="s">
        <v>4673</v>
      </c>
      <c r="D3005" s="617" t="s">
        <v>102</v>
      </c>
      <c r="E3005" s="617" t="s">
        <v>1672</v>
      </c>
      <c r="F3005" s="617" t="s">
        <v>26</v>
      </c>
      <c r="G3005" s="624"/>
      <c r="O3005" s="616"/>
      <c r="P3005" s="616"/>
      <c r="Q3005" s="616"/>
    </row>
    <row r="3006" spans="1:17" s="608" customFormat="1" x14ac:dyDescent="0.25">
      <c r="A3006" s="624"/>
      <c r="B3006" s="617">
        <v>39157021502</v>
      </c>
      <c r="C3006" s="617" t="s">
        <v>4674</v>
      </c>
      <c r="D3006" s="617" t="s">
        <v>102</v>
      </c>
      <c r="E3006" s="617" t="s">
        <v>1672</v>
      </c>
      <c r="F3006" s="617" t="s">
        <v>26</v>
      </c>
      <c r="G3006" s="624"/>
      <c r="O3006" s="616"/>
      <c r="P3006" s="616"/>
      <c r="Q3006" s="616"/>
    </row>
    <row r="3007" spans="1:17" s="608" customFormat="1" x14ac:dyDescent="0.25">
      <c r="A3007" s="624"/>
      <c r="B3007" s="617">
        <v>39157021503</v>
      </c>
      <c r="C3007" s="617" t="s">
        <v>4675</v>
      </c>
      <c r="D3007" s="617" t="s">
        <v>102</v>
      </c>
      <c r="E3007" s="617" t="s">
        <v>1672</v>
      </c>
      <c r="F3007" s="617" t="s">
        <v>26</v>
      </c>
      <c r="G3007" s="624"/>
      <c r="O3007" s="616"/>
      <c r="P3007" s="616"/>
      <c r="Q3007" s="616"/>
    </row>
    <row r="3008" spans="1:17" s="608" customFormat="1" x14ac:dyDescent="0.25">
      <c r="A3008" s="624"/>
      <c r="B3008" s="617">
        <v>39157021600</v>
      </c>
      <c r="C3008" s="617" t="s">
        <v>4676</v>
      </c>
      <c r="D3008" s="617" t="s">
        <v>102</v>
      </c>
      <c r="E3008" s="617" t="s">
        <v>1672</v>
      </c>
      <c r="F3008" s="617" t="s">
        <v>26</v>
      </c>
      <c r="G3008" s="624"/>
      <c r="O3008" s="616"/>
      <c r="P3008" s="616"/>
      <c r="Q3008" s="616"/>
    </row>
    <row r="3009" spans="1:17" s="608" customFormat="1" x14ac:dyDescent="0.25">
      <c r="A3009" s="624"/>
      <c r="B3009" s="617">
        <v>39157021700</v>
      </c>
      <c r="C3009" s="617" t="s">
        <v>4677</v>
      </c>
      <c r="D3009" s="617" t="s">
        <v>102</v>
      </c>
      <c r="E3009" s="617" t="s">
        <v>1672</v>
      </c>
      <c r="F3009" s="617" t="s">
        <v>26</v>
      </c>
      <c r="G3009" s="624"/>
      <c r="O3009" s="616"/>
      <c r="P3009" s="616"/>
      <c r="Q3009" s="616"/>
    </row>
    <row r="3010" spans="1:17" s="608" customFormat="1" x14ac:dyDescent="0.25">
      <c r="A3010" s="624"/>
      <c r="B3010" s="617">
        <v>39157021800</v>
      </c>
      <c r="C3010" s="617" t="s">
        <v>4678</v>
      </c>
      <c r="D3010" s="617" t="s">
        <v>102</v>
      </c>
      <c r="E3010" s="617" t="s">
        <v>1672</v>
      </c>
      <c r="F3010" s="617" t="s">
        <v>26</v>
      </c>
      <c r="G3010" s="624"/>
      <c r="O3010" s="616"/>
      <c r="P3010" s="616"/>
      <c r="Q3010" s="616"/>
    </row>
    <row r="3011" spans="1:17" s="608" customFormat="1" x14ac:dyDescent="0.25">
      <c r="A3011" s="624"/>
      <c r="B3011" s="617">
        <v>39157021900</v>
      </c>
      <c r="C3011" s="617" t="s">
        <v>4679</v>
      </c>
      <c r="D3011" s="617" t="s">
        <v>102</v>
      </c>
      <c r="E3011" s="617" t="s">
        <v>1672</v>
      </c>
      <c r="F3011" s="617" t="s">
        <v>26</v>
      </c>
      <c r="G3011" s="624"/>
      <c r="O3011" s="616"/>
      <c r="P3011" s="616"/>
      <c r="Q3011" s="616"/>
    </row>
    <row r="3012" spans="1:17" s="608" customFormat="1" x14ac:dyDescent="0.25">
      <c r="A3012" s="624"/>
      <c r="B3012" s="617">
        <v>39157022001</v>
      </c>
      <c r="C3012" s="617" t="s">
        <v>4680</v>
      </c>
      <c r="D3012" s="617" t="s">
        <v>102</v>
      </c>
      <c r="E3012" s="617" t="s">
        <v>1672</v>
      </c>
      <c r="F3012" s="617" t="s">
        <v>26</v>
      </c>
      <c r="G3012" s="624"/>
      <c r="O3012" s="616"/>
      <c r="P3012" s="616"/>
      <c r="Q3012" s="616"/>
    </row>
    <row r="3013" spans="1:17" s="608" customFormat="1" x14ac:dyDescent="0.25">
      <c r="A3013" s="624"/>
      <c r="B3013" s="617">
        <v>39157022002</v>
      </c>
      <c r="C3013" s="617" t="s">
        <v>4681</v>
      </c>
      <c r="D3013" s="617" t="s">
        <v>102</v>
      </c>
      <c r="E3013" s="617" t="s">
        <v>1672</v>
      </c>
      <c r="F3013" s="617" t="s">
        <v>26</v>
      </c>
      <c r="G3013" s="624"/>
      <c r="O3013" s="616"/>
      <c r="P3013" s="616"/>
      <c r="Q3013" s="616"/>
    </row>
    <row r="3014" spans="1:17" s="608" customFormat="1" x14ac:dyDescent="0.25">
      <c r="A3014" s="624"/>
      <c r="B3014" s="617">
        <v>39159050100</v>
      </c>
      <c r="C3014" s="617" t="s">
        <v>4682</v>
      </c>
      <c r="D3014" s="617" t="s">
        <v>103</v>
      </c>
      <c r="E3014" s="617" t="s">
        <v>4854</v>
      </c>
      <c r="F3014" s="617" t="s">
        <v>26</v>
      </c>
      <c r="G3014" s="624"/>
      <c r="O3014" s="616"/>
      <c r="P3014" s="616"/>
      <c r="Q3014" s="616"/>
    </row>
    <row r="3015" spans="1:17" s="608" customFormat="1" x14ac:dyDescent="0.25">
      <c r="A3015" s="624"/>
      <c r="B3015" s="617">
        <v>39159050200</v>
      </c>
      <c r="C3015" s="617" t="s">
        <v>4683</v>
      </c>
      <c r="D3015" s="617" t="s">
        <v>103</v>
      </c>
      <c r="E3015" s="617" t="s">
        <v>4854</v>
      </c>
      <c r="F3015" s="617" t="s">
        <v>26</v>
      </c>
      <c r="G3015" s="624"/>
      <c r="O3015" s="616"/>
      <c r="P3015" s="616"/>
      <c r="Q3015" s="616"/>
    </row>
    <row r="3016" spans="1:17" s="608" customFormat="1" x14ac:dyDescent="0.25">
      <c r="A3016" s="624"/>
      <c r="B3016" s="617">
        <v>39159050301</v>
      </c>
      <c r="C3016" s="617" t="s">
        <v>4684</v>
      </c>
      <c r="D3016" s="617" t="s">
        <v>103</v>
      </c>
      <c r="E3016" s="617" t="s">
        <v>4854</v>
      </c>
      <c r="F3016" s="617" t="s">
        <v>26</v>
      </c>
      <c r="G3016" s="624"/>
      <c r="O3016" s="616"/>
      <c r="P3016" s="616"/>
      <c r="Q3016" s="616"/>
    </row>
    <row r="3017" spans="1:17" s="608" customFormat="1" x14ac:dyDescent="0.25">
      <c r="A3017" s="624"/>
      <c r="B3017" s="617">
        <v>39159050303</v>
      </c>
      <c r="C3017" s="617" t="s">
        <v>4685</v>
      </c>
      <c r="D3017" s="617" t="s">
        <v>103</v>
      </c>
      <c r="E3017" s="617" t="s">
        <v>4854</v>
      </c>
      <c r="F3017" s="617" t="s">
        <v>26</v>
      </c>
      <c r="G3017" s="624"/>
      <c r="O3017" s="616"/>
      <c r="P3017" s="616"/>
      <c r="Q3017" s="616"/>
    </row>
    <row r="3018" spans="1:17" s="608" customFormat="1" x14ac:dyDescent="0.25">
      <c r="A3018" s="624"/>
      <c r="B3018" s="617">
        <v>39159050304</v>
      </c>
      <c r="C3018" s="617" t="s">
        <v>4686</v>
      </c>
      <c r="D3018" s="617" t="s">
        <v>103</v>
      </c>
      <c r="E3018" s="617" t="s">
        <v>4854</v>
      </c>
      <c r="F3018" s="617" t="s">
        <v>26</v>
      </c>
      <c r="G3018" s="624"/>
      <c r="O3018" s="616"/>
      <c r="P3018" s="616"/>
      <c r="Q3018" s="616"/>
    </row>
    <row r="3019" spans="1:17" s="608" customFormat="1" x14ac:dyDescent="0.25">
      <c r="A3019" s="624"/>
      <c r="B3019" s="617">
        <v>39159050401</v>
      </c>
      <c r="C3019" s="617" t="s">
        <v>4687</v>
      </c>
      <c r="D3019" s="617" t="s">
        <v>103</v>
      </c>
      <c r="E3019" s="617" t="s">
        <v>4854</v>
      </c>
      <c r="F3019" s="617" t="s">
        <v>26</v>
      </c>
      <c r="G3019" s="624"/>
      <c r="O3019" s="616"/>
      <c r="P3019" s="616"/>
      <c r="Q3019" s="616"/>
    </row>
    <row r="3020" spans="1:17" s="608" customFormat="1" x14ac:dyDescent="0.25">
      <c r="A3020" s="624"/>
      <c r="B3020" s="617">
        <v>39159050402</v>
      </c>
      <c r="C3020" s="617" t="s">
        <v>4688</v>
      </c>
      <c r="D3020" s="617" t="s">
        <v>103</v>
      </c>
      <c r="E3020" s="617" t="s">
        <v>4854</v>
      </c>
      <c r="F3020" s="617" t="s">
        <v>26</v>
      </c>
      <c r="G3020" s="624"/>
      <c r="O3020" s="616"/>
      <c r="P3020" s="616"/>
      <c r="Q3020" s="616"/>
    </row>
    <row r="3021" spans="1:17" s="608" customFormat="1" x14ac:dyDescent="0.25">
      <c r="A3021" s="624"/>
      <c r="B3021" s="617">
        <v>39159050501</v>
      </c>
      <c r="C3021" s="617" t="s">
        <v>4689</v>
      </c>
      <c r="D3021" s="617" t="s">
        <v>103</v>
      </c>
      <c r="E3021" s="617" t="s">
        <v>4854</v>
      </c>
      <c r="F3021" s="617" t="s">
        <v>26</v>
      </c>
      <c r="G3021" s="624"/>
      <c r="O3021" s="616"/>
      <c r="P3021" s="616"/>
      <c r="Q3021" s="616"/>
    </row>
    <row r="3022" spans="1:17" s="608" customFormat="1" x14ac:dyDescent="0.25">
      <c r="A3022" s="624"/>
      <c r="B3022" s="617">
        <v>39159050502</v>
      </c>
      <c r="C3022" s="617" t="s">
        <v>4690</v>
      </c>
      <c r="D3022" s="617" t="s">
        <v>103</v>
      </c>
      <c r="E3022" s="617" t="s">
        <v>4854</v>
      </c>
      <c r="F3022" s="617" t="s">
        <v>26</v>
      </c>
      <c r="G3022" s="624"/>
      <c r="O3022" s="616"/>
      <c r="P3022" s="616"/>
      <c r="Q3022" s="616"/>
    </row>
    <row r="3023" spans="1:17" s="608" customFormat="1" x14ac:dyDescent="0.25">
      <c r="A3023" s="624"/>
      <c r="B3023" s="617">
        <v>39159050601</v>
      </c>
      <c r="C3023" s="617" t="s">
        <v>4691</v>
      </c>
      <c r="D3023" s="617" t="s">
        <v>103</v>
      </c>
      <c r="E3023" s="617" t="s">
        <v>4854</v>
      </c>
      <c r="F3023" s="617" t="s">
        <v>26</v>
      </c>
      <c r="G3023" s="624"/>
      <c r="O3023" s="616"/>
      <c r="P3023" s="616"/>
      <c r="Q3023" s="616"/>
    </row>
    <row r="3024" spans="1:17" s="608" customFormat="1" x14ac:dyDescent="0.25">
      <c r="A3024" s="624"/>
      <c r="B3024" s="617">
        <v>39159050602</v>
      </c>
      <c r="C3024" s="617" t="s">
        <v>4692</v>
      </c>
      <c r="D3024" s="617" t="s">
        <v>103</v>
      </c>
      <c r="E3024" s="617" t="s">
        <v>4854</v>
      </c>
      <c r="F3024" s="617" t="s">
        <v>26</v>
      </c>
      <c r="G3024" s="624"/>
      <c r="O3024" s="616"/>
      <c r="P3024" s="616"/>
      <c r="Q3024" s="616"/>
    </row>
    <row r="3025" spans="1:17" s="608" customFormat="1" x14ac:dyDescent="0.25">
      <c r="A3025" s="624"/>
      <c r="B3025" s="617">
        <v>39159050701</v>
      </c>
      <c r="C3025" s="617" t="s">
        <v>4693</v>
      </c>
      <c r="D3025" s="617" t="s">
        <v>103</v>
      </c>
      <c r="E3025" s="617" t="s">
        <v>4854</v>
      </c>
      <c r="F3025" s="617" t="s">
        <v>26</v>
      </c>
      <c r="G3025" s="624"/>
      <c r="O3025" s="616"/>
      <c r="P3025" s="616"/>
      <c r="Q3025" s="616"/>
    </row>
    <row r="3026" spans="1:17" s="608" customFormat="1" x14ac:dyDescent="0.25">
      <c r="A3026" s="624"/>
      <c r="B3026" s="617">
        <v>39159050702</v>
      </c>
      <c r="C3026" s="617" t="s">
        <v>4694</v>
      </c>
      <c r="D3026" s="617" t="s">
        <v>103</v>
      </c>
      <c r="E3026" s="617" t="s">
        <v>4854</v>
      </c>
      <c r="F3026" s="617" t="s">
        <v>26</v>
      </c>
      <c r="G3026" s="624"/>
      <c r="O3026" s="616"/>
      <c r="P3026" s="616"/>
      <c r="Q3026" s="616"/>
    </row>
    <row r="3027" spans="1:17" s="608" customFormat="1" x14ac:dyDescent="0.25">
      <c r="A3027" s="624"/>
      <c r="B3027" s="617">
        <v>39161020100</v>
      </c>
      <c r="C3027" s="617" t="s">
        <v>4695</v>
      </c>
      <c r="D3027" s="617" t="s">
        <v>104</v>
      </c>
      <c r="E3027" s="617" t="s">
        <v>1672</v>
      </c>
      <c r="F3027" s="617" t="s">
        <v>26</v>
      </c>
      <c r="G3027" s="624"/>
      <c r="O3027" s="616"/>
      <c r="P3027" s="616"/>
      <c r="Q3027" s="616"/>
    </row>
    <row r="3028" spans="1:17" s="608" customFormat="1" x14ac:dyDescent="0.25">
      <c r="A3028" s="624"/>
      <c r="B3028" s="617">
        <v>39161020200</v>
      </c>
      <c r="C3028" s="617" t="s">
        <v>4696</v>
      </c>
      <c r="D3028" s="617" t="s">
        <v>104</v>
      </c>
      <c r="E3028" s="617" t="s">
        <v>1672</v>
      </c>
      <c r="F3028" s="617" t="s">
        <v>26</v>
      </c>
      <c r="G3028" s="624"/>
      <c r="O3028" s="616"/>
      <c r="P3028" s="616"/>
      <c r="Q3028" s="616"/>
    </row>
    <row r="3029" spans="1:17" s="608" customFormat="1" x14ac:dyDescent="0.25">
      <c r="A3029" s="624"/>
      <c r="B3029" s="617">
        <v>39161020300</v>
      </c>
      <c r="C3029" s="617" t="s">
        <v>4697</v>
      </c>
      <c r="D3029" s="617" t="s">
        <v>104</v>
      </c>
      <c r="E3029" s="617" t="s">
        <v>1672</v>
      </c>
      <c r="F3029" s="617" t="s">
        <v>26</v>
      </c>
      <c r="G3029" s="624"/>
      <c r="O3029" s="616"/>
      <c r="P3029" s="616"/>
      <c r="Q3029" s="616"/>
    </row>
    <row r="3030" spans="1:17" s="608" customFormat="1" x14ac:dyDescent="0.25">
      <c r="A3030" s="624"/>
      <c r="B3030" s="617">
        <v>39161020400</v>
      </c>
      <c r="C3030" s="617" t="s">
        <v>4698</v>
      </c>
      <c r="D3030" s="617" t="s">
        <v>104</v>
      </c>
      <c r="E3030" s="617" t="s">
        <v>1672</v>
      </c>
      <c r="F3030" s="617" t="s">
        <v>26</v>
      </c>
      <c r="G3030" s="624"/>
      <c r="O3030" s="616"/>
      <c r="P3030" s="616"/>
      <c r="Q3030" s="616"/>
    </row>
    <row r="3031" spans="1:17" s="608" customFormat="1" x14ac:dyDescent="0.25">
      <c r="A3031" s="624"/>
      <c r="B3031" s="617">
        <v>39161020500</v>
      </c>
      <c r="C3031" s="617" t="s">
        <v>4699</v>
      </c>
      <c r="D3031" s="617" t="s">
        <v>104</v>
      </c>
      <c r="E3031" s="617" t="s">
        <v>1672</v>
      </c>
      <c r="F3031" s="617" t="s">
        <v>26</v>
      </c>
      <c r="G3031" s="624"/>
      <c r="O3031" s="616"/>
      <c r="P3031" s="616"/>
      <c r="Q3031" s="616"/>
    </row>
    <row r="3032" spans="1:17" s="608" customFormat="1" x14ac:dyDescent="0.25">
      <c r="A3032" s="624"/>
      <c r="B3032" s="617">
        <v>39161020600</v>
      </c>
      <c r="C3032" s="617" t="s">
        <v>4700</v>
      </c>
      <c r="D3032" s="617" t="s">
        <v>104</v>
      </c>
      <c r="E3032" s="617" t="s">
        <v>1672</v>
      </c>
      <c r="F3032" s="617" t="s">
        <v>24</v>
      </c>
      <c r="G3032" s="624"/>
      <c r="O3032" s="616"/>
      <c r="P3032" s="616"/>
      <c r="Q3032" s="616"/>
    </row>
    <row r="3033" spans="1:17" s="608" customFormat="1" x14ac:dyDescent="0.25">
      <c r="A3033" s="624"/>
      <c r="B3033" s="617">
        <v>39161020700</v>
      </c>
      <c r="C3033" s="617" t="s">
        <v>4701</v>
      </c>
      <c r="D3033" s="617" t="s">
        <v>104</v>
      </c>
      <c r="E3033" s="617" t="s">
        <v>1672</v>
      </c>
      <c r="F3033" s="617" t="s">
        <v>26</v>
      </c>
      <c r="G3033" s="624"/>
      <c r="O3033" s="616"/>
      <c r="P3033" s="616"/>
      <c r="Q3033" s="616"/>
    </row>
    <row r="3034" spans="1:17" s="608" customFormat="1" x14ac:dyDescent="0.25">
      <c r="A3034" s="624"/>
      <c r="B3034" s="617">
        <v>39161020800</v>
      </c>
      <c r="C3034" s="617" t="s">
        <v>4702</v>
      </c>
      <c r="D3034" s="617" t="s">
        <v>104</v>
      </c>
      <c r="E3034" s="617" t="s">
        <v>1672</v>
      </c>
      <c r="F3034" s="617" t="s">
        <v>26</v>
      </c>
      <c r="G3034" s="624"/>
      <c r="O3034" s="616"/>
      <c r="P3034" s="616"/>
      <c r="Q3034" s="616"/>
    </row>
    <row r="3035" spans="1:17" s="608" customFormat="1" x14ac:dyDescent="0.25">
      <c r="A3035" s="624"/>
      <c r="B3035" s="617">
        <v>39161020900</v>
      </c>
      <c r="C3035" s="617" t="s">
        <v>4703</v>
      </c>
      <c r="D3035" s="617" t="s">
        <v>104</v>
      </c>
      <c r="E3035" s="617" t="s">
        <v>1672</v>
      </c>
      <c r="F3035" s="617" t="s">
        <v>26</v>
      </c>
      <c r="G3035" s="624"/>
      <c r="O3035" s="616"/>
      <c r="P3035" s="616"/>
      <c r="Q3035" s="616"/>
    </row>
    <row r="3036" spans="1:17" s="608" customFormat="1" x14ac:dyDescent="0.25">
      <c r="A3036" s="624"/>
      <c r="B3036" s="617">
        <v>39163953000</v>
      </c>
      <c r="C3036" s="617" t="s">
        <v>4704</v>
      </c>
      <c r="D3036" s="617" t="s">
        <v>105</v>
      </c>
      <c r="E3036" s="617" t="s">
        <v>1672</v>
      </c>
      <c r="F3036" s="617" t="s">
        <v>26</v>
      </c>
      <c r="G3036" s="624"/>
      <c r="O3036" s="616"/>
      <c r="P3036" s="616"/>
      <c r="Q3036" s="616"/>
    </row>
    <row r="3037" spans="1:17" s="608" customFormat="1" x14ac:dyDescent="0.25">
      <c r="A3037" s="624"/>
      <c r="B3037" s="617">
        <v>39163953100</v>
      </c>
      <c r="C3037" s="617" t="s">
        <v>4705</v>
      </c>
      <c r="D3037" s="617" t="s">
        <v>105</v>
      </c>
      <c r="E3037" s="617" t="s">
        <v>1672</v>
      </c>
      <c r="F3037" s="617" t="s">
        <v>26</v>
      </c>
      <c r="G3037" s="624"/>
      <c r="O3037" s="616"/>
      <c r="P3037" s="616"/>
      <c r="Q3037" s="616"/>
    </row>
    <row r="3038" spans="1:17" s="608" customFormat="1" x14ac:dyDescent="0.25">
      <c r="A3038" s="624"/>
      <c r="B3038" s="617">
        <v>39163953200</v>
      </c>
      <c r="C3038" s="617" t="s">
        <v>4706</v>
      </c>
      <c r="D3038" s="617" t="s">
        <v>105</v>
      </c>
      <c r="E3038" s="617" t="s">
        <v>1672</v>
      </c>
      <c r="F3038" s="617" t="s">
        <v>26</v>
      </c>
      <c r="G3038" s="624"/>
      <c r="O3038" s="616"/>
      <c r="P3038" s="616"/>
      <c r="Q3038" s="616"/>
    </row>
    <row r="3039" spans="1:17" s="608" customFormat="1" x14ac:dyDescent="0.25">
      <c r="A3039" s="624"/>
      <c r="B3039" s="617">
        <v>39165030101</v>
      </c>
      <c r="C3039" s="617" t="s">
        <v>4707</v>
      </c>
      <c r="D3039" s="617" t="s">
        <v>106</v>
      </c>
      <c r="E3039" s="617" t="s">
        <v>4850</v>
      </c>
      <c r="F3039" s="617" t="s">
        <v>26</v>
      </c>
      <c r="G3039" s="624"/>
      <c r="O3039" s="616"/>
      <c r="P3039" s="616"/>
      <c r="Q3039" s="616"/>
    </row>
    <row r="3040" spans="1:17" s="608" customFormat="1" x14ac:dyDescent="0.25">
      <c r="A3040" s="624"/>
      <c r="B3040" s="617">
        <v>39165030102</v>
      </c>
      <c r="C3040" s="617" t="s">
        <v>4708</v>
      </c>
      <c r="D3040" s="617" t="s">
        <v>106</v>
      </c>
      <c r="E3040" s="617" t="s">
        <v>4850</v>
      </c>
      <c r="F3040" s="617" t="s">
        <v>26</v>
      </c>
      <c r="G3040" s="624"/>
      <c r="O3040" s="616"/>
      <c r="P3040" s="616"/>
      <c r="Q3040" s="616"/>
    </row>
    <row r="3041" spans="1:17" s="608" customFormat="1" x14ac:dyDescent="0.25">
      <c r="A3041" s="624"/>
      <c r="B3041" s="617">
        <v>39165030200</v>
      </c>
      <c r="C3041" s="617" t="s">
        <v>4709</v>
      </c>
      <c r="D3041" s="617" t="s">
        <v>106</v>
      </c>
      <c r="E3041" s="617" t="s">
        <v>4850</v>
      </c>
      <c r="F3041" s="617" t="s">
        <v>26</v>
      </c>
      <c r="G3041" s="624"/>
      <c r="O3041" s="616"/>
      <c r="P3041" s="616"/>
      <c r="Q3041" s="616"/>
    </row>
    <row r="3042" spans="1:17" s="608" customFormat="1" x14ac:dyDescent="0.25">
      <c r="A3042" s="624"/>
      <c r="B3042" s="617">
        <v>39165030501</v>
      </c>
      <c r="C3042" s="617" t="s">
        <v>4710</v>
      </c>
      <c r="D3042" s="617" t="s">
        <v>106</v>
      </c>
      <c r="E3042" s="617" t="s">
        <v>4850</v>
      </c>
      <c r="F3042" s="617" t="s">
        <v>26</v>
      </c>
      <c r="G3042" s="624"/>
      <c r="O3042" s="616"/>
      <c r="P3042" s="616"/>
      <c r="Q3042" s="616"/>
    </row>
    <row r="3043" spans="1:17" s="608" customFormat="1" x14ac:dyDescent="0.25">
      <c r="A3043" s="624"/>
      <c r="B3043" s="617">
        <v>39165030503</v>
      </c>
      <c r="C3043" s="617" t="s">
        <v>4711</v>
      </c>
      <c r="D3043" s="617" t="s">
        <v>106</v>
      </c>
      <c r="E3043" s="617" t="s">
        <v>4850</v>
      </c>
      <c r="F3043" s="617" t="s">
        <v>26</v>
      </c>
      <c r="G3043" s="624"/>
      <c r="O3043" s="616"/>
      <c r="P3043" s="616"/>
      <c r="Q3043" s="616"/>
    </row>
    <row r="3044" spans="1:17" s="608" customFormat="1" x14ac:dyDescent="0.25">
      <c r="A3044" s="624"/>
      <c r="B3044" s="617">
        <v>39165030504</v>
      </c>
      <c r="C3044" s="617" t="s">
        <v>4712</v>
      </c>
      <c r="D3044" s="617" t="s">
        <v>106</v>
      </c>
      <c r="E3044" s="617" t="s">
        <v>4850</v>
      </c>
      <c r="F3044" s="617" t="s">
        <v>26</v>
      </c>
      <c r="G3044" s="624"/>
      <c r="O3044" s="616"/>
      <c r="P3044" s="616"/>
      <c r="Q3044" s="616"/>
    </row>
    <row r="3045" spans="1:17" s="608" customFormat="1" x14ac:dyDescent="0.25">
      <c r="A3045" s="624"/>
      <c r="B3045" s="617">
        <v>39165030600</v>
      </c>
      <c r="C3045" s="617" t="s">
        <v>4713</v>
      </c>
      <c r="D3045" s="617" t="s">
        <v>106</v>
      </c>
      <c r="E3045" s="617" t="s">
        <v>4850</v>
      </c>
      <c r="F3045" s="617" t="s">
        <v>26</v>
      </c>
      <c r="G3045" s="624"/>
      <c r="O3045" s="616"/>
      <c r="P3045" s="616"/>
      <c r="Q3045" s="616"/>
    </row>
    <row r="3046" spans="1:17" s="608" customFormat="1" x14ac:dyDescent="0.25">
      <c r="A3046" s="624"/>
      <c r="B3046" s="617">
        <v>39165030700</v>
      </c>
      <c r="C3046" s="617" t="s">
        <v>4714</v>
      </c>
      <c r="D3046" s="617" t="s">
        <v>106</v>
      </c>
      <c r="E3046" s="617" t="s">
        <v>4850</v>
      </c>
      <c r="F3046" s="617" t="s">
        <v>26</v>
      </c>
      <c r="G3046" s="624"/>
      <c r="O3046" s="616"/>
      <c r="P3046" s="616"/>
      <c r="Q3046" s="616"/>
    </row>
    <row r="3047" spans="1:17" s="608" customFormat="1" x14ac:dyDescent="0.25">
      <c r="A3047" s="624"/>
      <c r="B3047" s="617">
        <v>39165030800</v>
      </c>
      <c r="C3047" s="617" t="s">
        <v>4715</v>
      </c>
      <c r="D3047" s="617" t="s">
        <v>106</v>
      </c>
      <c r="E3047" s="617" t="s">
        <v>4850</v>
      </c>
      <c r="F3047" s="617" t="s">
        <v>26</v>
      </c>
      <c r="G3047" s="624"/>
      <c r="O3047" s="616"/>
      <c r="P3047" s="616"/>
      <c r="Q3047" s="616"/>
    </row>
    <row r="3048" spans="1:17" s="608" customFormat="1" x14ac:dyDescent="0.25">
      <c r="A3048" s="624"/>
      <c r="B3048" s="617">
        <v>39165030901</v>
      </c>
      <c r="C3048" s="617" t="s">
        <v>4716</v>
      </c>
      <c r="D3048" s="617" t="s">
        <v>106</v>
      </c>
      <c r="E3048" s="617" t="s">
        <v>4850</v>
      </c>
      <c r="F3048" s="617" t="s">
        <v>26</v>
      </c>
      <c r="G3048" s="624"/>
      <c r="O3048" s="616"/>
      <c r="P3048" s="616"/>
      <c r="Q3048" s="616"/>
    </row>
    <row r="3049" spans="1:17" s="608" customFormat="1" x14ac:dyDescent="0.25">
      <c r="A3049" s="624"/>
      <c r="B3049" s="617">
        <v>39165030902</v>
      </c>
      <c r="C3049" s="617" t="s">
        <v>4717</v>
      </c>
      <c r="D3049" s="617" t="s">
        <v>106</v>
      </c>
      <c r="E3049" s="617" t="s">
        <v>4850</v>
      </c>
      <c r="F3049" s="617" t="s">
        <v>26</v>
      </c>
      <c r="G3049" s="624"/>
      <c r="O3049" s="616"/>
      <c r="P3049" s="616"/>
      <c r="Q3049" s="616"/>
    </row>
    <row r="3050" spans="1:17" s="608" customFormat="1" x14ac:dyDescent="0.25">
      <c r="A3050" s="624"/>
      <c r="B3050" s="617">
        <v>39165031001</v>
      </c>
      <c r="C3050" s="617" t="s">
        <v>4718</v>
      </c>
      <c r="D3050" s="617" t="s">
        <v>106</v>
      </c>
      <c r="E3050" s="617" t="s">
        <v>4850</v>
      </c>
      <c r="F3050" s="617" t="s">
        <v>26</v>
      </c>
      <c r="G3050" s="624"/>
      <c r="O3050" s="616"/>
      <c r="P3050" s="616"/>
      <c r="Q3050" s="616"/>
    </row>
    <row r="3051" spans="1:17" s="608" customFormat="1" x14ac:dyDescent="0.25">
      <c r="A3051" s="624"/>
      <c r="B3051" s="617">
        <v>39165031002</v>
      </c>
      <c r="C3051" s="617" t="s">
        <v>4719</v>
      </c>
      <c r="D3051" s="617" t="s">
        <v>106</v>
      </c>
      <c r="E3051" s="617" t="s">
        <v>4850</v>
      </c>
      <c r="F3051" s="617" t="s">
        <v>26</v>
      </c>
      <c r="G3051" s="624"/>
      <c r="O3051" s="616"/>
      <c r="P3051" s="616"/>
      <c r="Q3051" s="616"/>
    </row>
    <row r="3052" spans="1:17" s="608" customFormat="1" x14ac:dyDescent="0.25">
      <c r="A3052" s="624"/>
      <c r="B3052" s="617">
        <v>39165031100</v>
      </c>
      <c r="C3052" s="617" t="s">
        <v>4720</v>
      </c>
      <c r="D3052" s="617" t="s">
        <v>106</v>
      </c>
      <c r="E3052" s="617" t="s">
        <v>4850</v>
      </c>
      <c r="F3052" s="617" t="s">
        <v>26</v>
      </c>
      <c r="G3052" s="624"/>
      <c r="O3052" s="616"/>
      <c r="P3052" s="616"/>
      <c r="Q3052" s="616"/>
    </row>
    <row r="3053" spans="1:17" s="608" customFormat="1" x14ac:dyDescent="0.25">
      <c r="A3053" s="624"/>
      <c r="B3053" s="617">
        <v>39165031200</v>
      </c>
      <c r="C3053" s="617" t="s">
        <v>4721</v>
      </c>
      <c r="D3053" s="617" t="s">
        <v>106</v>
      </c>
      <c r="E3053" s="617" t="s">
        <v>4850</v>
      </c>
      <c r="F3053" s="617" t="s">
        <v>26</v>
      </c>
      <c r="G3053" s="624"/>
      <c r="O3053" s="616"/>
      <c r="P3053" s="616"/>
      <c r="Q3053" s="616"/>
    </row>
    <row r="3054" spans="1:17" s="608" customFormat="1" x14ac:dyDescent="0.25">
      <c r="A3054" s="624"/>
      <c r="B3054" s="617">
        <v>39165031300</v>
      </c>
      <c r="C3054" s="617" t="s">
        <v>4722</v>
      </c>
      <c r="D3054" s="617" t="s">
        <v>106</v>
      </c>
      <c r="E3054" s="617" t="s">
        <v>4850</v>
      </c>
      <c r="F3054" s="617" t="s">
        <v>26</v>
      </c>
      <c r="G3054" s="624"/>
      <c r="O3054" s="616"/>
      <c r="P3054" s="616"/>
      <c r="Q3054" s="616"/>
    </row>
    <row r="3055" spans="1:17" s="608" customFormat="1" x14ac:dyDescent="0.25">
      <c r="A3055" s="624"/>
      <c r="B3055" s="617">
        <v>39165031400</v>
      </c>
      <c r="C3055" s="617" t="s">
        <v>4723</v>
      </c>
      <c r="D3055" s="617" t="s">
        <v>106</v>
      </c>
      <c r="E3055" s="617" t="s">
        <v>4850</v>
      </c>
      <c r="F3055" s="617" t="s">
        <v>26</v>
      </c>
      <c r="G3055" s="624"/>
      <c r="O3055" s="616"/>
      <c r="P3055" s="616"/>
      <c r="Q3055" s="616"/>
    </row>
    <row r="3056" spans="1:17" s="608" customFormat="1" x14ac:dyDescent="0.25">
      <c r="A3056" s="624"/>
      <c r="B3056" s="617">
        <v>39165031500</v>
      </c>
      <c r="C3056" s="617" t="s">
        <v>4724</v>
      </c>
      <c r="D3056" s="617" t="s">
        <v>106</v>
      </c>
      <c r="E3056" s="617" t="s">
        <v>4850</v>
      </c>
      <c r="F3056" s="617" t="s">
        <v>26</v>
      </c>
      <c r="G3056" s="624"/>
      <c r="O3056" s="616"/>
      <c r="P3056" s="616"/>
      <c r="Q3056" s="616"/>
    </row>
    <row r="3057" spans="1:17" s="608" customFormat="1" x14ac:dyDescent="0.25">
      <c r="A3057" s="624"/>
      <c r="B3057" s="617">
        <v>39165031601</v>
      </c>
      <c r="C3057" s="617" t="s">
        <v>4725</v>
      </c>
      <c r="D3057" s="617" t="s">
        <v>106</v>
      </c>
      <c r="E3057" s="617" t="s">
        <v>4850</v>
      </c>
      <c r="F3057" s="617" t="s">
        <v>26</v>
      </c>
      <c r="G3057" s="624"/>
      <c r="O3057" s="616"/>
      <c r="P3057" s="616"/>
      <c r="Q3057" s="616"/>
    </row>
    <row r="3058" spans="1:17" s="608" customFormat="1" x14ac:dyDescent="0.25">
      <c r="A3058" s="624"/>
      <c r="B3058" s="617">
        <v>39165031602</v>
      </c>
      <c r="C3058" s="617" t="s">
        <v>4726</v>
      </c>
      <c r="D3058" s="617" t="s">
        <v>106</v>
      </c>
      <c r="E3058" s="617" t="s">
        <v>4850</v>
      </c>
      <c r="F3058" s="617" t="s">
        <v>26</v>
      </c>
      <c r="G3058" s="624"/>
      <c r="O3058" s="616"/>
      <c r="P3058" s="616"/>
      <c r="Q3058" s="616"/>
    </row>
    <row r="3059" spans="1:17" s="608" customFormat="1" x14ac:dyDescent="0.25">
      <c r="A3059" s="624"/>
      <c r="B3059" s="617">
        <v>39165031603</v>
      </c>
      <c r="C3059" s="617" t="s">
        <v>4727</v>
      </c>
      <c r="D3059" s="617" t="s">
        <v>106</v>
      </c>
      <c r="E3059" s="617" t="s">
        <v>4850</v>
      </c>
      <c r="F3059" s="617" t="s">
        <v>26</v>
      </c>
      <c r="G3059" s="624"/>
      <c r="O3059" s="616"/>
      <c r="P3059" s="616"/>
      <c r="Q3059" s="616"/>
    </row>
    <row r="3060" spans="1:17" s="608" customFormat="1" x14ac:dyDescent="0.25">
      <c r="A3060" s="624"/>
      <c r="B3060" s="617">
        <v>39165031700</v>
      </c>
      <c r="C3060" s="617" t="s">
        <v>4728</v>
      </c>
      <c r="D3060" s="617" t="s">
        <v>106</v>
      </c>
      <c r="E3060" s="617" t="s">
        <v>4850</v>
      </c>
      <c r="F3060" s="617" t="s">
        <v>26</v>
      </c>
      <c r="G3060" s="624"/>
      <c r="O3060" s="616"/>
      <c r="P3060" s="616"/>
      <c r="Q3060" s="616"/>
    </row>
    <row r="3061" spans="1:17" s="608" customFormat="1" x14ac:dyDescent="0.25">
      <c r="A3061" s="624"/>
      <c r="B3061" s="617">
        <v>39165031904</v>
      </c>
      <c r="C3061" s="617" t="s">
        <v>4729</v>
      </c>
      <c r="D3061" s="617" t="s">
        <v>106</v>
      </c>
      <c r="E3061" s="617" t="s">
        <v>4850</v>
      </c>
      <c r="F3061" s="617" t="s">
        <v>26</v>
      </c>
      <c r="G3061" s="624"/>
      <c r="O3061" s="616"/>
      <c r="P3061" s="616"/>
      <c r="Q3061" s="616"/>
    </row>
    <row r="3062" spans="1:17" s="608" customFormat="1" x14ac:dyDescent="0.25">
      <c r="A3062" s="624"/>
      <c r="B3062" s="617">
        <v>39165031905</v>
      </c>
      <c r="C3062" s="617" t="s">
        <v>4730</v>
      </c>
      <c r="D3062" s="617" t="s">
        <v>106</v>
      </c>
      <c r="E3062" s="617" t="s">
        <v>4850</v>
      </c>
      <c r="F3062" s="617" t="s">
        <v>26</v>
      </c>
      <c r="G3062" s="624"/>
      <c r="O3062" s="616"/>
      <c r="P3062" s="616"/>
      <c r="Q3062" s="616"/>
    </row>
    <row r="3063" spans="1:17" s="608" customFormat="1" x14ac:dyDescent="0.25">
      <c r="A3063" s="624"/>
      <c r="B3063" s="617">
        <v>39165031906</v>
      </c>
      <c r="C3063" s="617" t="s">
        <v>4731</v>
      </c>
      <c r="D3063" s="617" t="s">
        <v>106</v>
      </c>
      <c r="E3063" s="617" t="s">
        <v>4850</v>
      </c>
      <c r="F3063" s="617" t="s">
        <v>26</v>
      </c>
      <c r="G3063" s="624"/>
      <c r="O3063" s="616"/>
      <c r="P3063" s="616"/>
      <c r="Q3063" s="616"/>
    </row>
    <row r="3064" spans="1:17" s="608" customFormat="1" x14ac:dyDescent="0.25">
      <c r="A3064" s="624"/>
      <c r="B3064" s="617">
        <v>39165031907</v>
      </c>
      <c r="C3064" s="617" t="s">
        <v>4732</v>
      </c>
      <c r="D3064" s="617" t="s">
        <v>106</v>
      </c>
      <c r="E3064" s="617" t="s">
        <v>4850</v>
      </c>
      <c r="F3064" s="617" t="s">
        <v>26</v>
      </c>
      <c r="G3064" s="624"/>
      <c r="O3064" s="616"/>
      <c r="P3064" s="616"/>
      <c r="Q3064" s="616"/>
    </row>
    <row r="3065" spans="1:17" s="608" customFormat="1" x14ac:dyDescent="0.25">
      <c r="A3065" s="624"/>
      <c r="B3065" s="617">
        <v>39165031908</v>
      </c>
      <c r="C3065" s="617" t="s">
        <v>4733</v>
      </c>
      <c r="D3065" s="617" t="s">
        <v>106</v>
      </c>
      <c r="E3065" s="617" t="s">
        <v>4850</v>
      </c>
      <c r="F3065" s="617" t="s">
        <v>26</v>
      </c>
      <c r="G3065" s="624"/>
      <c r="O3065" s="616"/>
      <c r="P3065" s="616"/>
      <c r="Q3065" s="616"/>
    </row>
    <row r="3066" spans="1:17" s="608" customFormat="1" x14ac:dyDescent="0.25">
      <c r="A3066" s="624"/>
      <c r="B3066" s="617">
        <v>39165032003</v>
      </c>
      <c r="C3066" s="617" t="s">
        <v>4734</v>
      </c>
      <c r="D3066" s="617" t="s">
        <v>106</v>
      </c>
      <c r="E3066" s="617" t="s">
        <v>4850</v>
      </c>
      <c r="F3066" s="617" t="s">
        <v>26</v>
      </c>
      <c r="G3066" s="624"/>
      <c r="O3066" s="616"/>
      <c r="P3066" s="616"/>
      <c r="Q3066" s="616"/>
    </row>
    <row r="3067" spans="1:17" s="608" customFormat="1" x14ac:dyDescent="0.25">
      <c r="A3067" s="624"/>
      <c r="B3067" s="617">
        <v>39165032004</v>
      </c>
      <c r="C3067" s="617" t="s">
        <v>4735</v>
      </c>
      <c r="D3067" s="617" t="s">
        <v>106</v>
      </c>
      <c r="E3067" s="617" t="s">
        <v>4850</v>
      </c>
      <c r="F3067" s="617" t="s">
        <v>26</v>
      </c>
      <c r="G3067" s="624"/>
      <c r="O3067" s="616"/>
      <c r="P3067" s="616"/>
      <c r="Q3067" s="616"/>
    </row>
    <row r="3068" spans="1:17" s="608" customFormat="1" x14ac:dyDescent="0.25">
      <c r="A3068" s="624"/>
      <c r="B3068" s="617">
        <v>39165032006</v>
      </c>
      <c r="C3068" s="617" t="s">
        <v>4736</v>
      </c>
      <c r="D3068" s="617" t="s">
        <v>106</v>
      </c>
      <c r="E3068" s="617" t="s">
        <v>4850</v>
      </c>
      <c r="F3068" s="617" t="s">
        <v>26</v>
      </c>
      <c r="G3068" s="624"/>
      <c r="O3068" s="616"/>
      <c r="P3068" s="616"/>
      <c r="Q3068" s="616"/>
    </row>
    <row r="3069" spans="1:17" s="608" customFormat="1" x14ac:dyDescent="0.25">
      <c r="A3069" s="624"/>
      <c r="B3069" s="617">
        <v>39165032008</v>
      </c>
      <c r="C3069" s="617" t="s">
        <v>4737</v>
      </c>
      <c r="D3069" s="617" t="s">
        <v>106</v>
      </c>
      <c r="E3069" s="617" t="s">
        <v>4850</v>
      </c>
      <c r="F3069" s="617" t="s">
        <v>26</v>
      </c>
      <c r="G3069" s="624"/>
      <c r="O3069" s="616"/>
      <c r="P3069" s="616"/>
      <c r="Q3069" s="616"/>
    </row>
    <row r="3070" spans="1:17" s="608" customFormat="1" x14ac:dyDescent="0.25">
      <c r="A3070" s="624"/>
      <c r="B3070" s="617">
        <v>39165032009</v>
      </c>
      <c r="C3070" s="617" t="s">
        <v>4738</v>
      </c>
      <c r="D3070" s="617" t="s">
        <v>106</v>
      </c>
      <c r="E3070" s="617" t="s">
        <v>4850</v>
      </c>
      <c r="F3070" s="617" t="s">
        <v>26</v>
      </c>
      <c r="G3070" s="624"/>
      <c r="O3070" s="616"/>
      <c r="P3070" s="616"/>
      <c r="Q3070" s="616"/>
    </row>
    <row r="3071" spans="1:17" s="608" customFormat="1" x14ac:dyDescent="0.25">
      <c r="A3071" s="624"/>
      <c r="B3071" s="617">
        <v>39165032010</v>
      </c>
      <c r="C3071" s="617" t="s">
        <v>4739</v>
      </c>
      <c r="D3071" s="617" t="s">
        <v>106</v>
      </c>
      <c r="E3071" s="617" t="s">
        <v>4850</v>
      </c>
      <c r="F3071" s="617" t="s">
        <v>26</v>
      </c>
      <c r="G3071" s="624"/>
      <c r="O3071" s="616"/>
      <c r="P3071" s="616"/>
      <c r="Q3071" s="616"/>
    </row>
    <row r="3072" spans="1:17" s="608" customFormat="1" x14ac:dyDescent="0.25">
      <c r="A3072" s="624"/>
      <c r="B3072" s="617">
        <v>39165032011</v>
      </c>
      <c r="C3072" s="617" t="s">
        <v>4740</v>
      </c>
      <c r="D3072" s="617" t="s">
        <v>106</v>
      </c>
      <c r="E3072" s="617" t="s">
        <v>4850</v>
      </c>
      <c r="F3072" s="617" t="s">
        <v>26</v>
      </c>
      <c r="G3072" s="624"/>
      <c r="O3072" s="616"/>
      <c r="P3072" s="616"/>
      <c r="Q3072" s="616"/>
    </row>
    <row r="3073" spans="1:17" s="608" customFormat="1" x14ac:dyDescent="0.25">
      <c r="A3073" s="624"/>
      <c r="B3073" s="617">
        <v>39165032100</v>
      </c>
      <c r="C3073" s="617" t="s">
        <v>4741</v>
      </c>
      <c r="D3073" s="617" t="s">
        <v>106</v>
      </c>
      <c r="E3073" s="617" t="s">
        <v>4850</v>
      </c>
      <c r="F3073" s="617" t="s">
        <v>26</v>
      </c>
      <c r="G3073" s="624"/>
      <c r="O3073" s="616"/>
      <c r="P3073" s="616"/>
      <c r="Q3073" s="616"/>
    </row>
    <row r="3074" spans="1:17" s="608" customFormat="1" x14ac:dyDescent="0.25">
      <c r="A3074" s="624"/>
      <c r="B3074" s="617">
        <v>39165032202</v>
      </c>
      <c r="C3074" s="617" t="s">
        <v>4742</v>
      </c>
      <c r="D3074" s="617" t="s">
        <v>106</v>
      </c>
      <c r="E3074" s="617" t="s">
        <v>4850</v>
      </c>
      <c r="F3074" s="617" t="s">
        <v>26</v>
      </c>
      <c r="G3074" s="624"/>
      <c r="O3074" s="616"/>
      <c r="P3074" s="616"/>
      <c r="Q3074" s="616"/>
    </row>
    <row r="3075" spans="1:17" s="608" customFormat="1" x14ac:dyDescent="0.25">
      <c r="A3075" s="624"/>
      <c r="B3075" s="617">
        <v>39165032203</v>
      </c>
      <c r="C3075" s="617" t="s">
        <v>4743</v>
      </c>
      <c r="D3075" s="617" t="s">
        <v>106</v>
      </c>
      <c r="E3075" s="617" t="s">
        <v>4850</v>
      </c>
      <c r="F3075" s="617" t="s">
        <v>26</v>
      </c>
      <c r="G3075" s="624"/>
      <c r="O3075" s="616"/>
      <c r="P3075" s="616"/>
      <c r="Q3075" s="616"/>
    </row>
    <row r="3076" spans="1:17" s="608" customFormat="1" x14ac:dyDescent="0.25">
      <c r="A3076" s="624"/>
      <c r="B3076" s="617">
        <v>39165032204</v>
      </c>
      <c r="C3076" s="617" t="s">
        <v>4744</v>
      </c>
      <c r="D3076" s="617" t="s">
        <v>106</v>
      </c>
      <c r="E3076" s="617" t="s">
        <v>4850</v>
      </c>
      <c r="F3076" s="617" t="s">
        <v>26</v>
      </c>
      <c r="G3076" s="624"/>
      <c r="O3076" s="616"/>
      <c r="P3076" s="616"/>
      <c r="Q3076" s="616"/>
    </row>
    <row r="3077" spans="1:17" s="608" customFormat="1" x14ac:dyDescent="0.25">
      <c r="A3077" s="624"/>
      <c r="B3077" s="617">
        <v>39165032205</v>
      </c>
      <c r="C3077" s="617" t="s">
        <v>4745</v>
      </c>
      <c r="D3077" s="617" t="s">
        <v>106</v>
      </c>
      <c r="E3077" s="617" t="s">
        <v>4850</v>
      </c>
      <c r="F3077" s="617" t="s">
        <v>26</v>
      </c>
      <c r="G3077" s="624"/>
      <c r="O3077" s="616"/>
      <c r="P3077" s="616"/>
      <c r="Q3077" s="616"/>
    </row>
    <row r="3078" spans="1:17" s="608" customFormat="1" x14ac:dyDescent="0.25">
      <c r="A3078" s="624"/>
      <c r="B3078" s="617">
        <v>39165032206</v>
      </c>
      <c r="C3078" s="617" t="s">
        <v>4746</v>
      </c>
      <c r="D3078" s="617" t="s">
        <v>106</v>
      </c>
      <c r="E3078" s="617" t="s">
        <v>4850</v>
      </c>
      <c r="F3078" s="617" t="s">
        <v>26</v>
      </c>
      <c r="G3078" s="624"/>
      <c r="O3078" s="616"/>
      <c r="P3078" s="616"/>
      <c r="Q3078" s="616"/>
    </row>
    <row r="3079" spans="1:17" s="608" customFormat="1" x14ac:dyDescent="0.25">
      <c r="A3079" s="624"/>
      <c r="B3079" s="617">
        <v>39165032300</v>
      </c>
      <c r="C3079" s="617" t="s">
        <v>4747</v>
      </c>
      <c r="D3079" s="617" t="s">
        <v>106</v>
      </c>
      <c r="E3079" s="617" t="s">
        <v>4850</v>
      </c>
      <c r="F3079" s="617" t="s">
        <v>26</v>
      </c>
      <c r="G3079" s="624"/>
      <c r="O3079" s="616"/>
      <c r="P3079" s="616"/>
      <c r="Q3079" s="616"/>
    </row>
    <row r="3080" spans="1:17" s="608" customFormat="1" x14ac:dyDescent="0.25">
      <c r="A3080" s="624"/>
      <c r="B3080" s="617">
        <v>39165032400</v>
      </c>
      <c r="C3080" s="617" t="s">
        <v>4748</v>
      </c>
      <c r="D3080" s="617" t="s">
        <v>106</v>
      </c>
      <c r="E3080" s="617" t="s">
        <v>4850</v>
      </c>
      <c r="F3080" s="617" t="s">
        <v>26</v>
      </c>
      <c r="G3080" s="624"/>
      <c r="O3080" s="616"/>
      <c r="P3080" s="616"/>
      <c r="Q3080" s="616"/>
    </row>
    <row r="3081" spans="1:17" s="608" customFormat="1" x14ac:dyDescent="0.25">
      <c r="A3081" s="624"/>
      <c r="B3081" s="617">
        <v>39165032501</v>
      </c>
      <c r="C3081" s="617" t="s">
        <v>4749</v>
      </c>
      <c r="D3081" s="617" t="s">
        <v>106</v>
      </c>
      <c r="E3081" s="617" t="s">
        <v>4850</v>
      </c>
      <c r="F3081" s="617" t="s">
        <v>26</v>
      </c>
      <c r="G3081" s="624"/>
      <c r="O3081" s="616"/>
      <c r="P3081" s="616"/>
      <c r="Q3081" s="616"/>
    </row>
    <row r="3082" spans="1:17" s="608" customFormat="1" x14ac:dyDescent="0.25">
      <c r="A3082" s="624"/>
      <c r="B3082" s="617">
        <v>39165032502</v>
      </c>
      <c r="C3082" s="617" t="s">
        <v>4750</v>
      </c>
      <c r="D3082" s="617" t="s">
        <v>106</v>
      </c>
      <c r="E3082" s="617" t="s">
        <v>4850</v>
      </c>
      <c r="F3082" s="617" t="s">
        <v>24</v>
      </c>
      <c r="G3082" s="624"/>
      <c r="O3082" s="616"/>
      <c r="P3082" s="616"/>
      <c r="Q3082" s="616"/>
    </row>
    <row r="3083" spans="1:17" s="608" customFormat="1" x14ac:dyDescent="0.25">
      <c r="A3083" s="624"/>
      <c r="B3083" s="617">
        <v>39167020101</v>
      </c>
      <c r="C3083" s="617" t="s">
        <v>4751</v>
      </c>
      <c r="D3083" s="617" t="s">
        <v>107</v>
      </c>
      <c r="E3083" s="617" t="s">
        <v>1672</v>
      </c>
      <c r="F3083" s="617" t="s">
        <v>26</v>
      </c>
      <c r="G3083" s="624"/>
      <c r="O3083" s="616"/>
      <c r="P3083" s="616"/>
      <c r="Q3083" s="616"/>
    </row>
    <row r="3084" spans="1:17" s="608" customFormat="1" x14ac:dyDescent="0.25">
      <c r="A3084" s="624"/>
      <c r="B3084" s="617">
        <v>39167020102</v>
      </c>
      <c r="C3084" s="617" t="s">
        <v>4752</v>
      </c>
      <c r="D3084" s="617" t="s">
        <v>107</v>
      </c>
      <c r="E3084" s="617" t="s">
        <v>1672</v>
      </c>
      <c r="F3084" s="617" t="s">
        <v>26</v>
      </c>
      <c r="G3084" s="624"/>
      <c r="O3084" s="616"/>
      <c r="P3084" s="616"/>
      <c r="Q3084" s="616"/>
    </row>
    <row r="3085" spans="1:17" s="608" customFormat="1" x14ac:dyDescent="0.25">
      <c r="A3085" s="624"/>
      <c r="B3085" s="617">
        <v>39167020201</v>
      </c>
      <c r="C3085" s="617" t="s">
        <v>4753</v>
      </c>
      <c r="D3085" s="617" t="s">
        <v>107</v>
      </c>
      <c r="E3085" s="617" t="s">
        <v>1672</v>
      </c>
      <c r="F3085" s="617" t="s">
        <v>26</v>
      </c>
      <c r="G3085" s="624"/>
      <c r="O3085" s="616"/>
      <c r="P3085" s="616"/>
      <c r="Q3085" s="616"/>
    </row>
    <row r="3086" spans="1:17" s="608" customFormat="1" x14ac:dyDescent="0.25">
      <c r="A3086" s="624"/>
      <c r="B3086" s="617">
        <v>39167020202</v>
      </c>
      <c r="C3086" s="617" t="s">
        <v>4754</v>
      </c>
      <c r="D3086" s="617" t="s">
        <v>107</v>
      </c>
      <c r="E3086" s="617" t="s">
        <v>1672</v>
      </c>
      <c r="F3086" s="617" t="s">
        <v>26</v>
      </c>
      <c r="G3086" s="624"/>
      <c r="O3086" s="616"/>
      <c r="P3086" s="616"/>
      <c r="Q3086" s="616"/>
    </row>
    <row r="3087" spans="1:17" s="608" customFormat="1" x14ac:dyDescent="0.25">
      <c r="A3087" s="624"/>
      <c r="B3087" s="617">
        <v>39167020300</v>
      </c>
      <c r="C3087" s="617" t="s">
        <v>4755</v>
      </c>
      <c r="D3087" s="617" t="s">
        <v>107</v>
      </c>
      <c r="E3087" s="617" t="s">
        <v>1672</v>
      </c>
      <c r="F3087" s="617" t="s">
        <v>26</v>
      </c>
      <c r="G3087" s="624"/>
      <c r="O3087" s="616"/>
      <c r="P3087" s="616"/>
      <c r="Q3087" s="616"/>
    </row>
    <row r="3088" spans="1:17" s="608" customFormat="1" x14ac:dyDescent="0.25">
      <c r="A3088" s="624"/>
      <c r="B3088" s="617">
        <v>39167020400</v>
      </c>
      <c r="C3088" s="617" t="s">
        <v>4756</v>
      </c>
      <c r="D3088" s="617" t="s">
        <v>107</v>
      </c>
      <c r="E3088" s="617" t="s">
        <v>1672</v>
      </c>
      <c r="F3088" s="617" t="s">
        <v>26</v>
      </c>
      <c r="G3088" s="624"/>
      <c r="O3088" s="616"/>
      <c r="P3088" s="616"/>
      <c r="Q3088" s="616"/>
    </row>
    <row r="3089" spans="1:17" s="608" customFormat="1" x14ac:dyDescent="0.25">
      <c r="A3089" s="624"/>
      <c r="B3089" s="617">
        <v>39167020500</v>
      </c>
      <c r="C3089" s="617" t="s">
        <v>4757</v>
      </c>
      <c r="D3089" s="617" t="s">
        <v>107</v>
      </c>
      <c r="E3089" s="617" t="s">
        <v>1672</v>
      </c>
      <c r="F3089" s="617" t="s">
        <v>24</v>
      </c>
      <c r="G3089" s="624"/>
      <c r="O3089" s="616"/>
      <c r="P3089" s="616"/>
      <c r="Q3089" s="616"/>
    </row>
    <row r="3090" spans="1:17" s="608" customFormat="1" x14ac:dyDescent="0.25">
      <c r="A3090" s="624"/>
      <c r="B3090" s="617">
        <v>39167020800</v>
      </c>
      <c r="C3090" s="617" t="s">
        <v>4758</v>
      </c>
      <c r="D3090" s="617" t="s">
        <v>107</v>
      </c>
      <c r="E3090" s="617" t="s">
        <v>1672</v>
      </c>
      <c r="F3090" s="617" t="s">
        <v>26</v>
      </c>
      <c r="G3090" s="624"/>
      <c r="O3090" s="616"/>
      <c r="P3090" s="616"/>
      <c r="Q3090" s="616"/>
    </row>
    <row r="3091" spans="1:17" s="608" customFormat="1" x14ac:dyDescent="0.25">
      <c r="A3091" s="624"/>
      <c r="B3091" s="617">
        <v>39167020900</v>
      </c>
      <c r="C3091" s="617" t="s">
        <v>4759</v>
      </c>
      <c r="D3091" s="617" t="s">
        <v>107</v>
      </c>
      <c r="E3091" s="617" t="s">
        <v>1672</v>
      </c>
      <c r="F3091" s="617" t="s">
        <v>24</v>
      </c>
      <c r="G3091" s="624"/>
      <c r="O3091" s="616"/>
      <c r="P3091" s="616"/>
      <c r="Q3091" s="616"/>
    </row>
    <row r="3092" spans="1:17" s="608" customFormat="1" x14ac:dyDescent="0.25">
      <c r="A3092" s="624"/>
      <c r="B3092" s="617">
        <v>39167021000</v>
      </c>
      <c r="C3092" s="617" t="s">
        <v>4760</v>
      </c>
      <c r="D3092" s="617" t="s">
        <v>107</v>
      </c>
      <c r="E3092" s="617" t="s">
        <v>1672</v>
      </c>
      <c r="F3092" s="617" t="s">
        <v>24</v>
      </c>
      <c r="G3092" s="624"/>
      <c r="O3092" s="616"/>
      <c r="P3092" s="616"/>
      <c r="Q3092" s="616"/>
    </row>
    <row r="3093" spans="1:17" s="608" customFormat="1" x14ac:dyDescent="0.25">
      <c r="A3093" s="624"/>
      <c r="B3093" s="617">
        <v>39167021100</v>
      </c>
      <c r="C3093" s="617" t="s">
        <v>4761</v>
      </c>
      <c r="D3093" s="617" t="s">
        <v>107</v>
      </c>
      <c r="E3093" s="617" t="s">
        <v>1672</v>
      </c>
      <c r="F3093" s="617" t="s">
        <v>26</v>
      </c>
      <c r="G3093" s="624"/>
      <c r="O3093" s="616"/>
      <c r="P3093" s="616"/>
      <c r="Q3093" s="616"/>
    </row>
    <row r="3094" spans="1:17" s="608" customFormat="1" x14ac:dyDescent="0.25">
      <c r="A3094" s="624"/>
      <c r="B3094" s="617">
        <v>39167021201</v>
      </c>
      <c r="C3094" s="617" t="s">
        <v>4762</v>
      </c>
      <c r="D3094" s="617" t="s">
        <v>107</v>
      </c>
      <c r="E3094" s="617" t="s">
        <v>1672</v>
      </c>
      <c r="F3094" s="617" t="s">
        <v>26</v>
      </c>
      <c r="G3094" s="624"/>
      <c r="O3094" s="616"/>
      <c r="P3094" s="616"/>
      <c r="Q3094" s="616"/>
    </row>
    <row r="3095" spans="1:17" s="608" customFormat="1" x14ac:dyDescent="0.25">
      <c r="A3095" s="624"/>
      <c r="B3095" s="617">
        <v>39167021202</v>
      </c>
      <c r="C3095" s="617" t="s">
        <v>4763</v>
      </c>
      <c r="D3095" s="617" t="s">
        <v>107</v>
      </c>
      <c r="E3095" s="617" t="s">
        <v>1672</v>
      </c>
      <c r="F3095" s="617" t="s">
        <v>26</v>
      </c>
      <c r="G3095" s="624"/>
      <c r="O3095" s="616"/>
      <c r="P3095" s="616"/>
      <c r="Q3095" s="616"/>
    </row>
    <row r="3096" spans="1:17" s="608" customFormat="1" x14ac:dyDescent="0.25">
      <c r="A3096" s="624"/>
      <c r="B3096" s="617">
        <v>39167021300</v>
      </c>
      <c r="C3096" s="617" t="s">
        <v>4764</v>
      </c>
      <c r="D3096" s="617" t="s">
        <v>107</v>
      </c>
      <c r="E3096" s="617" t="s">
        <v>1672</v>
      </c>
      <c r="F3096" s="617" t="s">
        <v>26</v>
      </c>
      <c r="G3096" s="624"/>
      <c r="O3096" s="616"/>
      <c r="P3096" s="616"/>
      <c r="Q3096" s="616"/>
    </row>
    <row r="3097" spans="1:17" s="608" customFormat="1" x14ac:dyDescent="0.25">
      <c r="A3097" s="624"/>
      <c r="B3097" s="617">
        <v>39167021400</v>
      </c>
      <c r="C3097" s="617" t="s">
        <v>4765</v>
      </c>
      <c r="D3097" s="617" t="s">
        <v>107</v>
      </c>
      <c r="E3097" s="617" t="s">
        <v>1672</v>
      </c>
      <c r="F3097" s="617" t="s">
        <v>26</v>
      </c>
      <c r="G3097" s="624"/>
      <c r="O3097" s="616"/>
      <c r="P3097" s="616"/>
      <c r="Q3097" s="616"/>
    </row>
    <row r="3098" spans="1:17" s="608" customFormat="1" x14ac:dyDescent="0.25">
      <c r="A3098" s="624"/>
      <c r="B3098" s="617">
        <v>39167021500</v>
      </c>
      <c r="C3098" s="617" t="s">
        <v>4766</v>
      </c>
      <c r="D3098" s="617" t="s">
        <v>107</v>
      </c>
      <c r="E3098" s="617" t="s">
        <v>1672</v>
      </c>
      <c r="F3098" s="617" t="s">
        <v>26</v>
      </c>
      <c r="G3098" s="624"/>
      <c r="O3098" s="616"/>
      <c r="P3098" s="616"/>
      <c r="Q3098" s="616"/>
    </row>
    <row r="3099" spans="1:17" s="608" customFormat="1" x14ac:dyDescent="0.25">
      <c r="A3099" s="624"/>
      <c r="B3099" s="617">
        <v>39167021600</v>
      </c>
      <c r="C3099" s="617" t="s">
        <v>4767</v>
      </c>
      <c r="D3099" s="617" t="s">
        <v>107</v>
      </c>
      <c r="E3099" s="617" t="s">
        <v>1672</v>
      </c>
      <c r="F3099" s="617" t="s">
        <v>26</v>
      </c>
      <c r="G3099" s="624"/>
      <c r="O3099" s="616"/>
      <c r="P3099" s="616"/>
      <c r="Q3099" s="616"/>
    </row>
    <row r="3100" spans="1:17" s="608" customFormat="1" x14ac:dyDescent="0.25">
      <c r="A3100" s="624"/>
      <c r="B3100" s="617">
        <v>39167021700</v>
      </c>
      <c r="C3100" s="617" t="s">
        <v>4768</v>
      </c>
      <c r="D3100" s="617" t="s">
        <v>107</v>
      </c>
      <c r="E3100" s="617" t="s">
        <v>1672</v>
      </c>
      <c r="F3100" s="617" t="s">
        <v>26</v>
      </c>
      <c r="G3100" s="624"/>
      <c r="O3100" s="616"/>
      <c r="P3100" s="616"/>
      <c r="Q3100" s="616"/>
    </row>
    <row r="3101" spans="1:17" s="608" customFormat="1" x14ac:dyDescent="0.25">
      <c r="A3101" s="624"/>
      <c r="B3101" s="617">
        <v>39169000100</v>
      </c>
      <c r="C3101" s="617" t="s">
        <v>4769</v>
      </c>
      <c r="D3101" s="617" t="s">
        <v>108</v>
      </c>
      <c r="E3101" s="617" t="s">
        <v>1672</v>
      </c>
      <c r="F3101" s="617" t="s">
        <v>24</v>
      </c>
      <c r="G3101" s="624"/>
      <c r="O3101" s="616"/>
      <c r="P3101" s="616"/>
      <c r="Q3101" s="616"/>
    </row>
    <row r="3102" spans="1:17" s="608" customFormat="1" x14ac:dyDescent="0.25">
      <c r="A3102" s="624"/>
      <c r="B3102" s="617">
        <v>39169000200</v>
      </c>
      <c r="C3102" s="617" t="s">
        <v>4770</v>
      </c>
      <c r="D3102" s="617" t="s">
        <v>108</v>
      </c>
      <c r="E3102" s="617" t="s">
        <v>1672</v>
      </c>
      <c r="F3102" s="617" t="s">
        <v>26</v>
      </c>
      <c r="G3102" s="624"/>
      <c r="O3102" s="616"/>
      <c r="P3102" s="616"/>
      <c r="Q3102" s="616"/>
    </row>
    <row r="3103" spans="1:17" s="608" customFormat="1" x14ac:dyDescent="0.25">
      <c r="A3103" s="624"/>
      <c r="B3103" s="617">
        <v>39169000300</v>
      </c>
      <c r="C3103" s="617" t="s">
        <v>4771</v>
      </c>
      <c r="D3103" s="617" t="s">
        <v>108</v>
      </c>
      <c r="E3103" s="617" t="s">
        <v>1672</v>
      </c>
      <c r="F3103" s="617" t="s">
        <v>26</v>
      </c>
      <c r="G3103" s="624"/>
      <c r="O3103" s="616"/>
      <c r="P3103" s="616"/>
      <c r="Q3103" s="616"/>
    </row>
    <row r="3104" spans="1:17" s="608" customFormat="1" x14ac:dyDescent="0.25">
      <c r="A3104" s="624"/>
      <c r="B3104" s="617">
        <v>39169000500</v>
      </c>
      <c r="C3104" s="617" t="s">
        <v>4772</v>
      </c>
      <c r="D3104" s="617" t="s">
        <v>108</v>
      </c>
      <c r="E3104" s="617" t="s">
        <v>1672</v>
      </c>
      <c r="F3104" s="617" t="s">
        <v>24</v>
      </c>
      <c r="G3104" s="624"/>
      <c r="O3104" s="616"/>
      <c r="P3104" s="616"/>
      <c r="Q3104" s="616"/>
    </row>
    <row r="3105" spans="1:17" s="608" customFormat="1" x14ac:dyDescent="0.25">
      <c r="A3105" s="624"/>
      <c r="B3105" s="617">
        <v>39169000600</v>
      </c>
      <c r="C3105" s="617" t="s">
        <v>4773</v>
      </c>
      <c r="D3105" s="617" t="s">
        <v>108</v>
      </c>
      <c r="E3105" s="617" t="s">
        <v>1672</v>
      </c>
      <c r="F3105" s="617" t="s">
        <v>26</v>
      </c>
      <c r="G3105" s="624"/>
      <c r="O3105" s="616"/>
      <c r="P3105" s="616"/>
      <c r="Q3105" s="616"/>
    </row>
    <row r="3106" spans="1:17" s="608" customFormat="1" x14ac:dyDescent="0.25">
      <c r="A3106" s="624"/>
      <c r="B3106" s="617">
        <v>39169000700</v>
      </c>
      <c r="C3106" s="617" t="s">
        <v>4774</v>
      </c>
      <c r="D3106" s="617" t="s">
        <v>108</v>
      </c>
      <c r="E3106" s="617" t="s">
        <v>1672</v>
      </c>
      <c r="F3106" s="617" t="s">
        <v>26</v>
      </c>
      <c r="G3106" s="624"/>
      <c r="O3106" s="616"/>
      <c r="P3106" s="616"/>
      <c r="Q3106" s="616"/>
    </row>
    <row r="3107" spans="1:17" s="608" customFormat="1" x14ac:dyDescent="0.25">
      <c r="A3107" s="624"/>
      <c r="B3107" s="617">
        <v>39169000800</v>
      </c>
      <c r="C3107" s="617" t="s">
        <v>4775</v>
      </c>
      <c r="D3107" s="617" t="s">
        <v>108</v>
      </c>
      <c r="E3107" s="617" t="s">
        <v>1672</v>
      </c>
      <c r="F3107" s="617" t="s">
        <v>26</v>
      </c>
      <c r="G3107" s="624"/>
      <c r="O3107" s="616"/>
      <c r="P3107" s="616"/>
      <c r="Q3107" s="616"/>
    </row>
    <row r="3108" spans="1:17" s="608" customFormat="1" x14ac:dyDescent="0.25">
      <c r="A3108" s="624"/>
      <c r="B3108" s="617">
        <v>39169000900</v>
      </c>
      <c r="C3108" s="617" t="s">
        <v>4776</v>
      </c>
      <c r="D3108" s="617" t="s">
        <v>108</v>
      </c>
      <c r="E3108" s="617" t="s">
        <v>1672</v>
      </c>
      <c r="F3108" s="617" t="s">
        <v>26</v>
      </c>
      <c r="G3108" s="624"/>
      <c r="O3108" s="616"/>
      <c r="P3108" s="616"/>
      <c r="Q3108" s="616"/>
    </row>
    <row r="3109" spans="1:17" s="608" customFormat="1" x14ac:dyDescent="0.25">
      <c r="A3109" s="624"/>
      <c r="B3109" s="617">
        <v>39169001000</v>
      </c>
      <c r="C3109" s="617" t="s">
        <v>4777</v>
      </c>
      <c r="D3109" s="617" t="s">
        <v>108</v>
      </c>
      <c r="E3109" s="617" t="s">
        <v>1672</v>
      </c>
      <c r="F3109" s="617" t="s">
        <v>26</v>
      </c>
      <c r="G3109" s="624"/>
      <c r="O3109" s="616"/>
      <c r="P3109" s="616"/>
      <c r="Q3109" s="616"/>
    </row>
    <row r="3110" spans="1:17" s="608" customFormat="1" x14ac:dyDescent="0.25">
      <c r="A3110" s="624"/>
      <c r="B3110" s="617">
        <v>39169001100</v>
      </c>
      <c r="C3110" s="617" t="s">
        <v>4778</v>
      </c>
      <c r="D3110" s="617" t="s">
        <v>108</v>
      </c>
      <c r="E3110" s="617" t="s">
        <v>1672</v>
      </c>
      <c r="F3110" s="617" t="s">
        <v>26</v>
      </c>
      <c r="G3110" s="624"/>
      <c r="O3110" s="616"/>
      <c r="P3110" s="616"/>
      <c r="Q3110" s="616"/>
    </row>
    <row r="3111" spans="1:17" s="608" customFormat="1" x14ac:dyDescent="0.25">
      <c r="A3111" s="624"/>
      <c r="B3111" s="617">
        <v>39169001200</v>
      </c>
      <c r="C3111" s="617" t="s">
        <v>4779</v>
      </c>
      <c r="D3111" s="617" t="s">
        <v>108</v>
      </c>
      <c r="E3111" s="617" t="s">
        <v>1672</v>
      </c>
      <c r="F3111" s="617" t="s">
        <v>24</v>
      </c>
      <c r="G3111" s="624"/>
      <c r="O3111" s="616"/>
      <c r="P3111" s="616"/>
      <c r="Q3111" s="616"/>
    </row>
    <row r="3112" spans="1:17" s="608" customFormat="1" x14ac:dyDescent="0.25">
      <c r="A3112" s="624"/>
      <c r="B3112" s="617">
        <v>39169001300</v>
      </c>
      <c r="C3112" s="617" t="s">
        <v>4780</v>
      </c>
      <c r="D3112" s="617" t="s">
        <v>108</v>
      </c>
      <c r="E3112" s="617" t="s">
        <v>1672</v>
      </c>
      <c r="F3112" s="617" t="s">
        <v>26</v>
      </c>
      <c r="G3112" s="624"/>
      <c r="O3112" s="616"/>
      <c r="P3112" s="616"/>
      <c r="Q3112" s="616"/>
    </row>
    <row r="3113" spans="1:17" s="608" customFormat="1" x14ac:dyDescent="0.25">
      <c r="A3113" s="624"/>
      <c r="B3113" s="617">
        <v>39169001400</v>
      </c>
      <c r="C3113" s="617" t="s">
        <v>4781</v>
      </c>
      <c r="D3113" s="617" t="s">
        <v>108</v>
      </c>
      <c r="E3113" s="617" t="s">
        <v>1672</v>
      </c>
      <c r="F3113" s="617" t="s">
        <v>26</v>
      </c>
      <c r="G3113" s="624"/>
      <c r="O3113" s="616"/>
      <c r="P3113" s="616"/>
      <c r="Q3113" s="616"/>
    </row>
    <row r="3114" spans="1:17" s="608" customFormat="1" x14ac:dyDescent="0.25">
      <c r="A3114" s="624"/>
      <c r="B3114" s="617">
        <v>39169001700</v>
      </c>
      <c r="C3114" s="617" t="s">
        <v>4782</v>
      </c>
      <c r="D3114" s="617" t="s">
        <v>108</v>
      </c>
      <c r="E3114" s="617" t="s">
        <v>1672</v>
      </c>
      <c r="F3114" s="617" t="s">
        <v>26</v>
      </c>
      <c r="G3114" s="624"/>
      <c r="O3114" s="616"/>
      <c r="P3114" s="616"/>
      <c r="Q3114" s="616"/>
    </row>
    <row r="3115" spans="1:17" s="608" customFormat="1" x14ac:dyDescent="0.25">
      <c r="A3115" s="624"/>
      <c r="B3115" s="617">
        <v>39169001800</v>
      </c>
      <c r="C3115" s="617" t="s">
        <v>4783</v>
      </c>
      <c r="D3115" s="617" t="s">
        <v>108</v>
      </c>
      <c r="E3115" s="617" t="s">
        <v>1672</v>
      </c>
      <c r="F3115" s="617" t="s">
        <v>26</v>
      </c>
      <c r="G3115" s="624"/>
      <c r="O3115" s="616"/>
      <c r="P3115" s="616"/>
      <c r="Q3115" s="616"/>
    </row>
    <row r="3116" spans="1:17" s="608" customFormat="1" x14ac:dyDescent="0.25">
      <c r="A3116" s="624"/>
      <c r="B3116" s="617">
        <v>39169001900</v>
      </c>
      <c r="C3116" s="617" t="s">
        <v>4784</v>
      </c>
      <c r="D3116" s="617" t="s">
        <v>108</v>
      </c>
      <c r="E3116" s="617" t="s">
        <v>1672</v>
      </c>
      <c r="F3116" s="617" t="s">
        <v>26</v>
      </c>
      <c r="G3116" s="624"/>
      <c r="O3116" s="616"/>
      <c r="P3116" s="616"/>
      <c r="Q3116" s="616"/>
    </row>
    <row r="3117" spans="1:17" s="608" customFormat="1" x14ac:dyDescent="0.25">
      <c r="A3117" s="624"/>
      <c r="B3117" s="617">
        <v>39169002000</v>
      </c>
      <c r="C3117" s="617" t="s">
        <v>4785</v>
      </c>
      <c r="D3117" s="617" t="s">
        <v>108</v>
      </c>
      <c r="E3117" s="617" t="s">
        <v>1672</v>
      </c>
      <c r="F3117" s="617" t="s">
        <v>26</v>
      </c>
      <c r="G3117" s="624"/>
      <c r="O3117" s="616"/>
      <c r="P3117" s="616"/>
      <c r="Q3117" s="616"/>
    </row>
    <row r="3118" spans="1:17" s="608" customFormat="1" x14ac:dyDescent="0.25">
      <c r="A3118" s="624"/>
      <c r="B3118" s="617">
        <v>39169002100</v>
      </c>
      <c r="C3118" s="617" t="s">
        <v>4786</v>
      </c>
      <c r="D3118" s="617" t="s">
        <v>108</v>
      </c>
      <c r="E3118" s="617" t="s">
        <v>1672</v>
      </c>
      <c r="F3118" s="617" t="s">
        <v>26</v>
      </c>
      <c r="G3118" s="624"/>
      <c r="O3118" s="616"/>
      <c r="P3118" s="616"/>
      <c r="Q3118" s="616"/>
    </row>
    <row r="3119" spans="1:17" s="608" customFormat="1" x14ac:dyDescent="0.25">
      <c r="A3119" s="624"/>
      <c r="B3119" s="617">
        <v>39169002200</v>
      </c>
      <c r="C3119" s="617" t="s">
        <v>4787</v>
      </c>
      <c r="D3119" s="617" t="s">
        <v>108</v>
      </c>
      <c r="E3119" s="617" t="s">
        <v>1672</v>
      </c>
      <c r="F3119" s="617" t="s">
        <v>26</v>
      </c>
      <c r="G3119" s="624"/>
      <c r="O3119" s="616"/>
      <c r="P3119" s="616"/>
      <c r="Q3119" s="616"/>
    </row>
    <row r="3120" spans="1:17" s="608" customFormat="1" x14ac:dyDescent="0.25">
      <c r="A3120" s="624"/>
      <c r="B3120" s="617">
        <v>39169002300</v>
      </c>
      <c r="C3120" s="617" t="s">
        <v>4788</v>
      </c>
      <c r="D3120" s="617" t="s">
        <v>108</v>
      </c>
      <c r="E3120" s="617" t="s">
        <v>1672</v>
      </c>
      <c r="F3120" s="617" t="s">
        <v>26</v>
      </c>
      <c r="G3120" s="624"/>
      <c r="O3120" s="616"/>
      <c r="P3120" s="616"/>
      <c r="Q3120" s="616"/>
    </row>
    <row r="3121" spans="1:17" s="608" customFormat="1" x14ac:dyDescent="0.25">
      <c r="A3121" s="624"/>
      <c r="B3121" s="617">
        <v>39169002400</v>
      </c>
      <c r="C3121" s="617" t="s">
        <v>4789</v>
      </c>
      <c r="D3121" s="617" t="s">
        <v>108</v>
      </c>
      <c r="E3121" s="617" t="s">
        <v>1672</v>
      </c>
      <c r="F3121" s="617" t="s">
        <v>26</v>
      </c>
      <c r="G3121" s="624"/>
      <c r="O3121" s="616"/>
      <c r="P3121" s="616"/>
      <c r="Q3121" s="616"/>
    </row>
    <row r="3122" spans="1:17" s="608" customFormat="1" x14ac:dyDescent="0.25">
      <c r="A3122" s="624"/>
      <c r="B3122" s="617">
        <v>39169002500</v>
      </c>
      <c r="C3122" s="617" t="s">
        <v>4790</v>
      </c>
      <c r="D3122" s="617" t="s">
        <v>108</v>
      </c>
      <c r="E3122" s="617" t="s">
        <v>1672</v>
      </c>
      <c r="F3122" s="617" t="s">
        <v>26</v>
      </c>
      <c r="G3122" s="624"/>
      <c r="O3122" s="616"/>
      <c r="P3122" s="616"/>
      <c r="Q3122" s="616"/>
    </row>
    <row r="3123" spans="1:17" s="608" customFormat="1" x14ac:dyDescent="0.25">
      <c r="A3123" s="624"/>
      <c r="B3123" s="617">
        <v>39169002901</v>
      </c>
      <c r="C3123" s="617" t="s">
        <v>4791</v>
      </c>
      <c r="D3123" s="617" t="s">
        <v>108</v>
      </c>
      <c r="E3123" s="617" t="s">
        <v>1672</v>
      </c>
      <c r="F3123" s="617" t="s">
        <v>26</v>
      </c>
      <c r="G3123" s="624"/>
      <c r="O3123" s="616"/>
      <c r="P3123" s="616"/>
      <c r="Q3123" s="616"/>
    </row>
    <row r="3124" spans="1:17" s="608" customFormat="1" x14ac:dyDescent="0.25">
      <c r="A3124" s="624"/>
      <c r="B3124" s="617">
        <v>39169002902</v>
      </c>
      <c r="C3124" s="617" t="s">
        <v>4792</v>
      </c>
      <c r="D3124" s="617" t="s">
        <v>108</v>
      </c>
      <c r="E3124" s="617" t="s">
        <v>1672</v>
      </c>
      <c r="F3124" s="617" t="s">
        <v>26</v>
      </c>
      <c r="G3124" s="624"/>
      <c r="O3124" s="616"/>
      <c r="P3124" s="616"/>
      <c r="Q3124" s="616"/>
    </row>
    <row r="3125" spans="1:17" s="608" customFormat="1" x14ac:dyDescent="0.25">
      <c r="A3125" s="624"/>
      <c r="B3125" s="617">
        <v>39169003000</v>
      </c>
      <c r="C3125" s="617" t="s">
        <v>4793</v>
      </c>
      <c r="D3125" s="617" t="s">
        <v>108</v>
      </c>
      <c r="E3125" s="617" t="s">
        <v>1672</v>
      </c>
      <c r="F3125" s="617" t="s">
        <v>26</v>
      </c>
      <c r="G3125" s="624"/>
      <c r="O3125" s="616"/>
      <c r="P3125" s="616"/>
      <c r="Q3125" s="616"/>
    </row>
    <row r="3126" spans="1:17" s="608" customFormat="1" x14ac:dyDescent="0.25">
      <c r="A3126" s="624"/>
      <c r="B3126" s="617">
        <v>39169003100</v>
      </c>
      <c r="C3126" s="617" t="s">
        <v>4794</v>
      </c>
      <c r="D3126" s="617" t="s">
        <v>108</v>
      </c>
      <c r="E3126" s="617" t="s">
        <v>1672</v>
      </c>
      <c r="F3126" s="617" t="s">
        <v>26</v>
      </c>
      <c r="G3126" s="624"/>
      <c r="O3126" s="616"/>
      <c r="P3126" s="616"/>
      <c r="Q3126" s="616"/>
    </row>
    <row r="3127" spans="1:17" s="608" customFormat="1" x14ac:dyDescent="0.25">
      <c r="A3127" s="624"/>
      <c r="B3127" s="617">
        <v>39169003200</v>
      </c>
      <c r="C3127" s="617" t="s">
        <v>4795</v>
      </c>
      <c r="D3127" s="617" t="s">
        <v>108</v>
      </c>
      <c r="E3127" s="617" t="s">
        <v>1672</v>
      </c>
      <c r="F3127" s="617" t="s">
        <v>26</v>
      </c>
      <c r="G3127" s="624"/>
      <c r="O3127" s="616"/>
      <c r="P3127" s="616"/>
      <c r="Q3127" s="616"/>
    </row>
    <row r="3128" spans="1:17" s="608" customFormat="1" x14ac:dyDescent="0.25">
      <c r="A3128" s="624"/>
      <c r="B3128" s="617">
        <v>39169003300</v>
      </c>
      <c r="C3128" s="617" t="s">
        <v>4796</v>
      </c>
      <c r="D3128" s="617" t="s">
        <v>108</v>
      </c>
      <c r="E3128" s="617" t="s">
        <v>1672</v>
      </c>
      <c r="F3128" s="617" t="s">
        <v>26</v>
      </c>
      <c r="G3128" s="624"/>
      <c r="O3128" s="616"/>
      <c r="P3128" s="616"/>
      <c r="Q3128" s="616"/>
    </row>
    <row r="3129" spans="1:17" s="608" customFormat="1" x14ac:dyDescent="0.25">
      <c r="A3129" s="624"/>
      <c r="B3129" s="617">
        <v>39169003400</v>
      </c>
      <c r="C3129" s="617" t="s">
        <v>4797</v>
      </c>
      <c r="D3129" s="617" t="s">
        <v>108</v>
      </c>
      <c r="E3129" s="617" t="s">
        <v>1672</v>
      </c>
      <c r="F3129" s="617" t="s">
        <v>26</v>
      </c>
      <c r="G3129" s="624"/>
      <c r="O3129" s="616"/>
      <c r="P3129" s="616"/>
      <c r="Q3129" s="616"/>
    </row>
    <row r="3130" spans="1:17" s="608" customFormat="1" x14ac:dyDescent="0.25">
      <c r="A3130" s="624"/>
      <c r="B3130" s="617">
        <v>39169003500</v>
      </c>
      <c r="C3130" s="617" t="s">
        <v>4798</v>
      </c>
      <c r="D3130" s="617" t="s">
        <v>108</v>
      </c>
      <c r="E3130" s="617" t="s">
        <v>1672</v>
      </c>
      <c r="F3130" s="617" t="s">
        <v>26</v>
      </c>
      <c r="G3130" s="624"/>
      <c r="O3130" s="616"/>
      <c r="P3130" s="616"/>
      <c r="Q3130" s="616"/>
    </row>
    <row r="3131" spans="1:17" s="608" customFormat="1" x14ac:dyDescent="0.25">
      <c r="A3131" s="624"/>
      <c r="B3131" s="617">
        <v>39169003700</v>
      </c>
      <c r="C3131" s="617" t="s">
        <v>4799</v>
      </c>
      <c r="D3131" s="617" t="s">
        <v>108</v>
      </c>
      <c r="E3131" s="617" t="s">
        <v>1672</v>
      </c>
      <c r="F3131" s="617" t="s">
        <v>26</v>
      </c>
      <c r="G3131" s="624"/>
      <c r="O3131" s="616"/>
      <c r="P3131" s="616"/>
      <c r="Q3131" s="616"/>
    </row>
    <row r="3132" spans="1:17" s="608" customFormat="1" x14ac:dyDescent="0.25">
      <c r="A3132" s="624"/>
      <c r="B3132" s="617">
        <v>39169980000</v>
      </c>
      <c r="C3132" s="617" t="s">
        <v>4800</v>
      </c>
      <c r="D3132" s="617" t="s">
        <v>108</v>
      </c>
      <c r="E3132" s="617" t="s">
        <v>1672</v>
      </c>
      <c r="F3132" s="617" t="s">
        <v>26</v>
      </c>
      <c r="G3132" s="624"/>
      <c r="O3132" s="616"/>
      <c r="P3132" s="616"/>
      <c r="Q3132" s="616"/>
    </row>
    <row r="3133" spans="1:17" s="608" customFormat="1" x14ac:dyDescent="0.25">
      <c r="A3133" s="624"/>
      <c r="B3133" s="617">
        <v>39171950100</v>
      </c>
      <c r="C3133" s="617" t="s">
        <v>4801</v>
      </c>
      <c r="D3133" s="617" t="s">
        <v>109</v>
      </c>
      <c r="E3133" s="617" t="s">
        <v>1672</v>
      </c>
      <c r="F3133" s="617" t="s">
        <v>26</v>
      </c>
      <c r="G3133" s="624"/>
      <c r="O3133" s="616"/>
      <c r="P3133" s="616"/>
      <c r="Q3133" s="616"/>
    </row>
    <row r="3134" spans="1:17" s="608" customFormat="1" x14ac:dyDescent="0.25">
      <c r="A3134" s="624"/>
      <c r="B3134" s="617">
        <v>39171950200</v>
      </c>
      <c r="C3134" s="617" t="s">
        <v>4802</v>
      </c>
      <c r="D3134" s="617" t="s">
        <v>109</v>
      </c>
      <c r="E3134" s="617" t="s">
        <v>1672</v>
      </c>
      <c r="F3134" s="617" t="s">
        <v>26</v>
      </c>
      <c r="G3134" s="624"/>
      <c r="O3134" s="616"/>
      <c r="P3134" s="616"/>
      <c r="Q3134" s="616"/>
    </row>
    <row r="3135" spans="1:17" s="608" customFormat="1" x14ac:dyDescent="0.25">
      <c r="A3135" s="624"/>
      <c r="B3135" s="617">
        <v>39171950300</v>
      </c>
      <c r="C3135" s="617" t="s">
        <v>4803</v>
      </c>
      <c r="D3135" s="617" t="s">
        <v>109</v>
      </c>
      <c r="E3135" s="617" t="s">
        <v>1672</v>
      </c>
      <c r="F3135" s="617" t="s">
        <v>26</v>
      </c>
      <c r="G3135" s="624"/>
      <c r="O3135" s="616"/>
      <c r="P3135" s="616"/>
      <c r="Q3135" s="616"/>
    </row>
    <row r="3136" spans="1:17" s="608" customFormat="1" x14ac:dyDescent="0.25">
      <c r="A3136" s="624"/>
      <c r="B3136" s="617">
        <v>39171950400</v>
      </c>
      <c r="C3136" s="617" t="s">
        <v>4804</v>
      </c>
      <c r="D3136" s="617" t="s">
        <v>109</v>
      </c>
      <c r="E3136" s="617" t="s">
        <v>1672</v>
      </c>
      <c r="F3136" s="617" t="s">
        <v>26</v>
      </c>
      <c r="G3136" s="624"/>
      <c r="O3136" s="616"/>
      <c r="P3136" s="616"/>
      <c r="Q3136" s="616"/>
    </row>
    <row r="3137" spans="1:17" s="608" customFormat="1" x14ac:dyDescent="0.25">
      <c r="A3137" s="624"/>
      <c r="B3137" s="617">
        <v>39171950500</v>
      </c>
      <c r="C3137" s="617" t="s">
        <v>4805</v>
      </c>
      <c r="D3137" s="617" t="s">
        <v>109</v>
      </c>
      <c r="E3137" s="617" t="s">
        <v>1672</v>
      </c>
      <c r="F3137" s="617" t="s">
        <v>26</v>
      </c>
      <c r="G3137" s="624"/>
      <c r="O3137" s="616"/>
      <c r="P3137" s="616"/>
      <c r="Q3137" s="616"/>
    </row>
    <row r="3138" spans="1:17" s="608" customFormat="1" x14ac:dyDescent="0.25">
      <c r="A3138" s="624"/>
      <c r="B3138" s="617">
        <v>39171950600</v>
      </c>
      <c r="C3138" s="617" t="s">
        <v>4806</v>
      </c>
      <c r="D3138" s="617" t="s">
        <v>109</v>
      </c>
      <c r="E3138" s="617" t="s">
        <v>1672</v>
      </c>
      <c r="F3138" s="617" t="s">
        <v>26</v>
      </c>
      <c r="G3138" s="624"/>
      <c r="O3138" s="616"/>
      <c r="P3138" s="616"/>
      <c r="Q3138" s="616"/>
    </row>
    <row r="3139" spans="1:17" s="608" customFormat="1" x14ac:dyDescent="0.25">
      <c r="A3139" s="624"/>
      <c r="B3139" s="617">
        <v>39171950700</v>
      </c>
      <c r="C3139" s="617" t="s">
        <v>4807</v>
      </c>
      <c r="D3139" s="617" t="s">
        <v>109</v>
      </c>
      <c r="E3139" s="617" t="s">
        <v>1672</v>
      </c>
      <c r="F3139" s="617" t="s">
        <v>26</v>
      </c>
      <c r="G3139" s="624"/>
      <c r="O3139" s="616"/>
      <c r="P3139" s="616"/>
      <c r="Q3139" s="616"/>
    </row>
    <row r="3140" spans="1:17" s="608" customFormat="1" x14ac:dyDescent="0.25">
      <c r="A3140" s="624"/>
      <c r="B3140" s="617">
        <v>39171950800</v>
      </c>
      <c r="C3140" s="617" t="s">
        <v>4808</v>
      </c>
      <c r="D3140" s="617" t="s">
        <v>109</v>
      </c>
      <c r="E3140" s="617" t="s">
        <v>1672</v>
      </c>
      <c r="F3140" s="617" t="s">
        <v>26</v>
      </c>
      <c r="G3140" s="624"/>
      <c r="O3140" s="616"/>
      <c r="P3140" s="616"/>
      <c r="Q3140" s="616"/>
    </row>
    <row r="3141" spans="1:17" s="608" customFormat="1" x14ac:dyDescent="0.25">
      <c r="A3141" s="624"/>
      <c r="B3141" s="617">
        <v>39171950900</v>
      </c>
      <c r="C3141" s="617" t="s">
        <v>4809</v>
      </c>
      <c r="D3141" s="617" t="s">
        <v>109</v>
      </c>
      <c r="E3141" s="617" t="s">
        <v>1672</v>
      </c>
      <c r="F3141" s="617" t="s">
        <v>26</v>
      </c>
      <c r="G3141" s="624"/>
      <c r="O3141" s="616"/>
      <c r="P3141" s="616"/>
      <c r="Q3141" s="616"/>
    </row>
    <row r="3142" spans="1:17" s="608" customFormat="1" x14ac:dyDescent="0.25">
      <c r="A3142" s="624"/>
      <c r="B3142" s="617">
        <v>39173020100</v>
      </c>
      <c r="C3142" s="617" t="s">
        <v>4810</v>
      </c>
      <c r="D3142" s="617" t="s">
        <v>110</v>
      </c>
      <c r="E3142" s="617" t="s">
        <v>4855</v>
      </c>
      <c r="F3142" s="617" t="s">
        <v>26</v>
      </c>
      <c r="G3142" s="624"/>
      <c r="O3142" s="616"/>
      <c r="P3142" s="616"/>
      <c r="Q3142" s="616"/>
    </row>
    <row r="3143" spans="1:17" s="608" customFormat="1" x14ac:dyDescent="0.25">
      <c r="A3143" s="624"/>
      <c r="B3143" s="617">
        <v>39173020200</v>
      </c>
      <c r="C3143" s="617" t="s">
        <v>4811</v>
      </c>
      <c r="D3143" s="617" t="s">
        <v>110</v>
      </c>
      <c r="E3143" s="617" t="s">
        <v>4855</v>
      </c>
      <c r="F3143" s="617" t="s">
        <v>26</v>
      </c>
      <c r="G3143" s="624"/>
      <c r="O3143" s="616"/>
      <c r="P3143" s="616"/>
      <c r="Q3143" s="616"/>
    </row>
    <row r="3144" spans="1:17" s="608" customFormat="1" x14ac:dyDescent="0.25">
      <c r="A3144" s="624"/>
      <c r="B3144" s="617">
        <v>39173020300</v>
      </c>
      <c r="C3144" s="617" t="s">
        <v>4812</v>
      </c>
      <c r="D3144" s="617" t="s">
        <v>110</v>
      </c>
      <c r="E3144" s="617" t="s">
        <v>4855</v>
      </c>
      <c r="F3144" s="617" t="s">
        <v>26</v>
      </c>
      <c r="G3144" s="624"/>
      <c r="O3144" s="616"/>
      <c r="P3144" s="616"/>
      <c r="Q3144" s="616"/>
    </row>
    <row r="3145" spans="1:17" s="608" customFormat="1" x14ac:dyDescent="0.25">
      <c r="A3145" s="624"/>
      <c r="B3145" s="617">
        <v>39173020401</v>
      </c>
      <c r="C3145" s="617" t="s">
        <v>4813</v>
      </c>
      <c r="D3145" s="617" t="s">
        <v>110</v>
      </c>
      <c r="E3145" s="617" t="s">
        <v>4855</v>
      </c>
      <c r="F3145" s="617" t="s">
        <v>26</v>
      </c>
      <c r="G3145" s="624"/>
      <c r="O3145" s="616"/>
      <c r="P3145" s="616"/>
      <c r="Q3145" s="616"/>
    </row>
    <row r="3146" spans="1:17" s="608" customFormat="1" x14ac:dyDescent="0.25">
      <c r="A3146" s="624"/>
      <c r="B3146" s="617">
        <v>39173020402</v>
      </c>
      <c r="C3146" s="617" t="s">
        <v>4814</v>
      </c>
      <c r="D3146" s="617" t="s">
        <v>110</v>
      </c>
      <c r="E3146" s="617" t="s">
        <v>4855</v>
      </c>
      <c r="F3146" s="617" t="s">
        <v>26</v>
      </c>
      <c r="G3146" s="624"/>
      <c r="O3146" s="616"/>
      <c r="P3146" s="616"/>
      <c r="Q3146" s="616"/>
    </row>
    <row r="3147" spans="1:17" s="608" customFormat="1" x14ac:dyDescent="0.25">
      <c r="A3147" s="624"/>
      <c r="B3147" s="617">
        <v>39173020500</v>
      </c>
      <c r="C3147" s="617" t="s">
        <v>4815</v>
      </c>
      <c r="D3147" s="617" t="s">
        <v>110</v>
      </c>
      <c r="E3147" s="617" t="s">
        <v>4855</v>
      </c>
      <c r="F3147" s="617" t="s">
        <v>26</v>
      </c>
      <c r="G3147" s="624"/>
      <c r="O3147" s="616"/>
      <c r="P3147" s="616"/>
      <c r="Q3147" s="616"/>
    </row>
    <row r="3148" spans="1:17" s="608" customFormat="1" x14ac:dyDescent="0.25">
      <c r="A3148" s="624"/>
      <c r="B3148" s="617">
        <v>39173020601</v>
      </c>
      <c r="C3148" s="617" t="s">
        <v>4816</v>
      </c>
      <c r="D3148" s="617" t="s">
        <v>110</v>
      </c>
      <c r="E3148" s="617" t="s">
        <v>4855</v>
      </c>
      <c r="F3148" s="617" t="s">
        <v>26</v>
      </c>
      <c r="G3148" s="624"/>
      <c r="O3148" s="616"/>
      <c r="P3148" s="616"/>
      <c r="Q3148" s="616"/>
    </row>
    <row r="3149" spans="1:17" s="608" customFormat="1" x14ac:dyDescent="0.25">
      <c r="A3149" s="624"/>
      <c r="B3149" s="617">
        <v>39173020602</v>
      </c>
      <c r="C3149" s="617" t="s">
        <v>4817</v>
      </c>
      <c r="D3149" s="617" t="s">
        <v>110</v>
      </c>
      <c r="E3149" s="617" t="s">
        <v>4855</v>
      </c>
      <c r="F3149" s="617" t="s">
        <v>26</v>
      </c>
      <c r="G3149" s="624"/>
      <c r="O3149" s="616"/>
      <c r="P3149" s="616"/>
      <c r="Q3149" s="616"/>
    </row>
    <row r="3150" spans="1:17" s="608" customFormat="1" x14ac:dyDescent="0.25">
      <c r="A3150" s="624"/>
      <c r="B3150" s="617">
        <v>39173020701</v>
      </c>
      <c r="C3150" s="617" t="s">
        <v>4818</v>
      </c>
      <c r="D3150" s="617" t="s">
        <v>110</v>
      </c>
      <c r="E3150" s="617" t="s">
        <v>4855</v>
      </c>
      <c r="F3150" s="617" t="s">
        <v>26</v>
      </c>
      <c r="G3150" s="624"/>
      <c r="O3150" s="616"/>
      <c r="P3150" s="616"/>
      <c r="Q3150" s="616"/>
    </row>
    <row r="3151" spans="1:17" s="608" customFormat="1" x14ac:dyDescent="0.25">
      <c r="A3151" s="624"/>
      <c r="B3151" s="617">
        <v>39173020702</v>
      </c>
      <c r="C3151" s="617" t="s">
        <v>4819</v>
      </c>
      <c r="D3151" s="617" t="s">
        <v>110</v>
      </c>
      <c r="E3151" s="617" t="s">
        <v>4855</v>
      </c>
      <c r="F3151" s="617" t="s">
        <v>26</v>
      </c>
      <c r="G3151" s="624"/>
      <c r="O3151" s="616"/>
      <c r="P3151" s="616"/>
      <c r="Q3151" s="616"/>
    </row>
    <row r="3152" spans="1:17" s="608" customFormat="1" x14ac:dyDescent="0.25">
      <c r="A3152" s="624"/>
      <c r="B3152" s="617">
        <v>39173020800</v>
      </c>
      <c r="C3152" s="617" t="s">
        <v>4820</v>
      </c>
      <c r="D3152" s="617" t="s">
        <v>110</v>
      </c>
      <c r="E3152" s="617" t="s">
        <v>4855</v>
      </c>
      <c r="F3152" s="617" t="s">
        <v>26</v>
      </c>
      <c r="G3152" s="624"/>
      <c r="O3152" s="616"/>
      <c r="P3152" s="616"/>
      <c r="Q3152" s="616"/>
    </row>
    <row r="3153" spans="1:17" s="608" customFormat="1" x14ac:dyDescent="0.25">
      <c r="A3153" s="624"/>
      <c r="B3153" s="617">
        <v>39173020901</v>
      </c>
      <c r="C3153" s="617" t="s">
        <v>4821</v>
      </c>
      <c r="D3153" s="617" t="s">
        <v>110</v>
      </c>
      <c r="E3153" s="617" t="s">
        <v>4855</v>
      </c>
      <c r="F3153" s="617" t="s">
        <v>26</v>
      </c>
      <c r="G3153" s="624"/>
      <c r="O3153" s="616"/>
      <c r="P3153" s="616"/>
      <c r="Q3153" s="616"/>
    </row>
    <row r="3154" spans="1:17" s="608" customFormat="1" x14ac:dyDescent="0.25">
      <c r="A3154" s="624"/>
      <c r="B3154" s="617">
        <v>39173020902</v>
      </c>
      <c r="C3154" s="617" t="s">
        <v>4822</v>
      </c>
      <c r="D3154" s="617" t="s">
        <v>110</v>
      </c>
      <c r="E3154" s="617" t="s">
        <v>4855</v>
      </c>
      <c r="F3154" s="617" t="s">
        <v>26</v>
      </c>
      <c r="G3154" s="624"/>
      <c r="O3154" s="616"/>
      <c r="P3154" s="616"/>
      <c r="Q3154" s="616"/>
    </row>
    <row r="3155" spans="1:17" s="608" customFormat="1" x14ac:dyDescent="0.25">
      <c r="A3155" s="624"/>
      <c r="B3155" s="617">
        <v>39173021000</v>
      </c>
      <c r="C3155" s="617" t="s">
        <v>4823</v>
      </c>
      <c r="D3155" s="617" t="s">
        <v>110</v>
      </c>
      <c r="E3155" s="617" t="s">
        <v>4855</v>
      </c>
      <c r="F3155" s="617" t="s">
        <v>26</v>
      </c>
      <c r="G3155" s="624"/>
      <c r="O3155" s="616"/>
      <c r="P3155" s="616"/>
      <c r="Q3155" s="616"/>
    </row>
    <row r="3156" spans="1:17" s="608" customFormat="1" x14ac:dyDescent="0.25">
      <c r="A3156" s="624"/>
      <c r="B3156" s="617">
        <v>39173021100</v>
      </c>
      <c r="C3156" s="617" t="s">
        <v>4824</v>
      </c>
      <c r="D3156" s="617" t="s">
        <v>110</v>
      </c>
      <c r="E3156" s="617" t="s">
        <v>4855</v>
      </c>
      <c r="F3156" s="617" t="s">
        <v>26</v>
      </c>
      <c r="G3156" s="624"/>
      <c r="O3156" s="616"/>
      <c r="P3156" s="616"/>
      <c r="Q3156" s="616"/>
    </row>
    <row r="3157" spans="1:17" s="608" customFormat="1" x14ac:dyDescent="0.25">
      <c r="A3157" s="624"/>
      <c r="B3157" s="617">
        <v>39173021200</v>
      </c>
      <c r="C3157" s="617" t="s">
        <v>4825</v>
      </c>
      <c r="D3157" s="617" t="s">
        <v>110</v>
      </c>
      <c r="E3157" s="617" t="s">
        <v>4855</v>
      </c>
      <c r="F3157" s="617" t="s">
        <v>26</v>
      </c>
      <c r="G3157" s="624"/>
      <c r="O3157" s="616"/>
      <c r="P3157" s="616"/>
      <c r="Q3157" s="616"/>
    </row>
    <row r="3158" spans="1:17" s="608" customFormat="1" x14ac:dyDescent="0.25">
      <c r="A3158" s="624"/>
      <c r="B3158" s="617">
        <v>39173021300</v>
      </c>
      <c r="C3158" s="617" t="s">
        <v>4826</v>
      </c>
      <c r="D3158" s="617" t="s">
        <v>110</v>
      </c>
      <c r="E3158" s="617" t="s">
        <v>4855</v>
      </c>
      <c r="F3158" s="617" t="s">
        <v>26</v>
      </c>
      <c r="G3158" s="624"/>
      <c r="O3158" s="616"/>
      <c r="P3158" s="616"/>
      <c r="Q3158" s="616"/>
    </row>
    <row r="3159" spans="1:17" s="608" customFormat="1" x14ac:dyDescent="0.25">
      <c r="A3159" s="624"/>
      <c r="B3159" s="617">
        <v>39173021400</v>
      </c>
      <c r="C3159" s="617" t="s">
        <v>4827</v>
      </c>
      <c r="D3159" s="617" t="s">
        <v>110</v>
      </c>
      <c r="E3159" s="617" t="s">
        <v>4855</v>
      </c>
      <c r="F3159" s="617" t="s">
        <v>26</v>
      </c>
      <c r="G3159" s="624"/>
      <c r="O3159" s="616"/>
      <c r="P3159" s="616"/>
      <c r="Q3159" s="616"/>
    </row>
    <row r="3160" spans="1:17" s="608" customFormat="1" x14ac:dyDescent="0.25">
      <c r="A3160" s="624"/>
      <c r="B3160" s="617">
        <v>39173021500</v>
      </c>
      <c r="C3160" s="617" t="s">
        <v>4828</v>
      </c>
      <c r="D3160" s="617" t="s">
        <v>110</v>
      </c>
      <c r="E3160" s="617" t="s">
        <v>4855</v>
      </c>
      <c r="F3160" s="617" t="s">
        <v>26</v>
      </c>
      <c r="G3160" s="624"/>
      <c r="O3160" s="616"/>
      <c r="P3160" s="616"/>
      <c r="Q3160" s="616"/>
    </row>
    <row r="3161" spans="1:17" s="608" customFormat="1" x14ac:dyDescent="0.25">
      <c r="A3161" s="624"/>
      <c r="B3161" s="617">
        <v>39173021601</v>
      </c>
      <c r="C3161" s="617" t="s">
        <v>4829</v>
      </c>
      <c r="D3161" s="617" t="s">
        <v>110</v>
      </c>
      <c r="E3161" s="617" t="s">
        <v>4855</v>
      </c>
      <c r="F3161" s="617" t="s">
        <v>26</v>
      </c>
      <c r="G3161" s="624"/>
      <c r="O3161" s="616"/>
      <c r="P3161" s="616"/>
      <c r="Q3161" s="616"/>
    </row>
    <row r="3162" spans="1:17" s="608" customFormat="1" x14ac:dyDescent="0.25">
      <c r="A3162" s="624"/>
      <c r="B3162" s="617">
        <v>39173021602</v>
      </c>
      <c r="C3162" s="617" t="s">
        <v>4830</v>
      </c>
      <c r="D3162" s="617" t="s">
        <v>110</v>
      </c>
      <c r="E3162" s="617" t="s">
        <v>4855</v>
      </c>
      <c r="F3162" s="617" t="s">
        <v>26</v>
      </c>
      <c r="G3162" s="624"/>
      <c r="O3162" s="616"/>
      <c r="P3162" s="616"/>
      <c r="Q3162" s="616"/>
    </row>
    <row r="3163" spans="1:17" s="608" customFormat="1" x14ac:dyDescent="0.25">
      <c r="A3163" s="624"/>
      <c r="B3163" s="617">
        <v>39173021701</v>
      </c>
      <c r="C3163" s="617" t="s">
        <v>4831</v>
      </c>
      <c r="D3163" s="617" t="s">
        <v>110</v>
      </c>
      <c r="E3163" s="617" t="s">
        <v>4855</v>
      </c>
      <c r="F3163" s="617" t="s">
        <v>24</v>
      </c>
      <c r="G3163" s="624"/>
      <c r="O3163" s="616"/>
      <c r="P3163" s="616"/>
      <c r="Q3163" s="616"/>
    </row>
    <row r="3164" spans="1:17" s="608" customFormat="1" x14ac:dyDescent="0.25">
      <c r="A3164" s="624"/>
      <c r="B3164" s="617">
        <v>39173021702</v>
      </c>
      <c r="C3164" s="617" t="s">
        <v>4832</v>
      </c>
      <c r="D3164" s="617" t="s">
        <v>110</v>
      </c>
      <c r="E3164" s="617" t="s">
        <v>4855</v>
      </c>
      <c r="F3164" s="617" t="s">
        <v>24</v>
      </c>
      <c r="G3164" s="624"/>
      <c r="O3164" s="616"/>
      <c r="P3164" s="616"/>
      <c r="Q3164" s="616"/>
    </row>
    <row r="3165" spans="1:17" s="608" customFormat="1" x14ac:dyDescent="0.25">
      <c r="A3165" s="624"/>
      <c r="B3165" s="617">
        <v>39173021800</v>
      </c>
      <c r="C3165" s="617" t="s">
        <v>4833</v>
      </c>
      <c r="D3165" s="617" t="s">
        <v>110</v>
      </c>
      <c r="E3165" s="617" t="s">
        <v>4855</v>
      </c>
      <c r="F3165" s="617" t="s">
        <v>24</v>
      </c>
      <c r="G3165" s="624"/>
      <c r="O3165" s="616"/>
      <c r="P3165" s="616"/>
      <c r="Q3165" s="616"/>
    </row>
    <row r="3166" spans="1:17" s="608" customFormat="1" x14ac:dyDescent="0.25">
      <c r="A3166" s="624"/>
      <c r="B3166" s="617">
        <v>39173021901</v>
      </c>
      <c r="C3166" s="617" t="s">
        <v>4834</v>
      </c>
      <c r="D3166" s="617" t="s">
        <v>110</v>
      </c>
      <c r="E3166" s="617" t="s">
        <v>4855</v>
      </c>
      <c r="F3166" s="617" t="s">
        <v>26</v>
      </c>
      <c r="G3166" s="624"/>
      <c r="O3166" s="616"/>
      <c r="P3166" s="616"/>
      <c r="Q3166" s="616"/>
    </row>
    <row r="3167" spans="1:17" s="608" customFormat="1" x14ac:dyDescent="0.25">
      <c r="A3167" s="624"/>
      <c r="B3167" s="617">
        <v>39173021902</v>
      </c>
      <c r="C3167" s="617" t="s">
        <v>4835</v>
      </c>
      <c r="D3167" s="617" t="s">
        <v>110</v>
      </c>
      <c r="E3167" s="617" t="s">
        <v>4855</v>
      </c>
      <c r="F3167" s="617" t="s">
        <v>24</v>
      </c>
      <c r="G3167" s="624"/>
      <c r="O3167" s="616"/>
      <c r="P3167" s="616"/>
      <c r="Q3167" s="616"/>
    </row>
    <row r="3168" spans="1:17" s="608" customFormat="1" x14ac:dyDescent="0.25">
      <c r="A3168" s="624"/>
      <c r="B3168" s="617">
        <v>39173022100</v>
      </c>
      <c r="C3168" s="617" t="s">
        <v>4836</v>
      </c>
      <c r="D3168" s="617" t="s">
        <v>110</v>
      </c>
      <c r="E3168" s="617" t="s">
        <v>4855</v>
      </c>
      <c r="F3168" s="617" t="s">
        <v>26</v>
      </c>
      <c r="G3168" s="624"/>
      <c r="O3168" s="616"/>
      <c r="P3168" s="616"/>
      <c r="Q3168" s="616"/>
    </row>
    <row r="3169" spans="1:32" s="608" customFormat="1" x14ac:dyDescent="0.25">
      <c r="A3169" s="624"/>
      <c r="B3169" s="617">
        <v>39173022200</v>
      </c>
      <c r="C3169" s="617" t="s">
        <v>4837</v>
      </c>
      <c r="D3169" s="617" t="s">
        <v>110</v>
      </c>
      <c r="E3169" s="617" t="s">
        <v>4855</v>
      </c>
      <c r="F3169" s="617" t="s">
        <v>26</v>
      </c>
      <c r="G3169" s="624"/>
      <c r="O3169" s="616"/>
      <c r="P3169" s="616"/>
      <c r="Q3169" s="616"/>
    </row>
    <row r="3170" spans="1:32" s="608" customFormat="1" x14ac:dyDescent="0.25">
      <c r="A3170" s="624"/>
      <c r="B3170" s="617">
        <v>39173022300</v>
      </c>
      <c r="C3170" s="617" t="s">
        <v>4838</v>
      </c>
      <c r="D3170" s="617" t="s">
        <v>110</v>
      </c>
      <c r="E3170" s="617" t="s">
        <v>4855</v>
      </c>
      <c r="F3170" s="617" t="s">
        <v>26</v>
      </c>
      <c r="G3170" s="624"/>
      <c r="O3170" s="616"/>
      <c r="P3170" s="616"/>
      <c r="Q3170" s="616"/>
    </row>
    <row r="3171" spans="1:32" s="608" customFormat="1" x14ac:dyDescent="0.25">
      <c r="A3171" s="624"/>
      <c r="B3171" s="617">
        <v>39173022400</v>
      </c>
      <c r="C3171" s="617" t="s">
        <v>4839</v>
      </c>
      <c r="D3171" s="617" t="s">
        <v>110</v>
      </c>
      <c r="E3171" s="617" t="s">
        <v>4855</v>
      </c>
      <c r="F3171" s="617" t="s">
        <v>26</v>
      </c>
      <c r="G3171" s="624"/>
      <c r="O3171" s="616"/>
      <c r="P3171" s="616"/>
      <c r="Q3171" s="616"/>
    </row>
    <row r="3172" spans="1:32" s="608" customFormat="1" x14ac:dyDescent="0.25">
      <c r="A3172" s="624"/>
      <c r="B3172" s="617">
        <v>39173022500</v>
      </c>
      <c r="C3172" s="617" t="s">
        <v>4840</v>
      </c>
      <c r="D3172" s="617" t="s">
        <v>110</v>
      </c>
      <c r="E3172" s="617" t="s">
        <v>4855</v>
      </c>
      <c r="F3172" s="617" t="s">
        <v>26</v>
      </c>
      <c r="G3172" s="624"/>
      <c r="O3172" s="616"/>
      <c r="P3172" s="616"/>
      <c r="Q3172" s="616"/>
    </row>
    <row r="3173" spans="1:32" s="608" customFormat="1" x14ac:dyDescent="0.25">
      <c r="A3173" s="624"/>
      <c r="B3173" s="617">
        <v>39175938000</v>
      </c>
      <c r="C3173" s="617" t="s">
        <v>4841</v>
      </c>
      <c r="D3173" s="617" t="s">
        <v>111</v>
      </c>
      <c r="E3173" s="617" t="s">
        <v>1672</v>
      </c>
      <c r="F3173" s="617" t="s">
        <v>26</v>
      </c>
      <c r="G3173" s="624"/>
      <c r="O3173" s="616"/>
      <c r="P3173" s="616"/>
      <c r="Q3173" s="616"/>
    </row>
    <row r="3174" spans="1:32" s="608" customFormat="1" x14ac:dyDescent="0.25">
      <c r="A3174" s="624"/>
      <c r="B3174" s="617">
        <v>39175938100</v>
      </c>
      <c r="C3174" s="617" t="s">
        <v>4842</v>
      </c>
      <c r="D3174" s="617" t="s">
        <v>111</v>
      </c>
      <c r="E3174" s="617" t="s">
        <v>1672</v>
      </c>
      <c r="F3174" s="617" t="s">
        <v>26</v>
      </c>
      <c r="G3174" s="624"/>
      <c r="O3174" s="616"/>
      <c r="P3174" s="616"/>
      <c r="Q3174" s="616"/>
    </row>
    <row r="3175" spans="1:32" s="608" customFormat="1" x14ac:dyDescent="0.25">
      <c r="A3175" s="624"/>
      <c r="B3175" s="617">
        <v>39175938200</v>
      </c>
      <c r="C3175" s="617" t="s">
        <v>4843</v>
      </c>
      <c r="D3175" s="617" t="s">
        <v>111</v>
      </c>
      <c r="E3175" s="617" t="s">
        <v>1672</v>
      </c>
      <c r="F3175" s="617" t="s">
        <v>26</v>
      </c>
      <c r="G3175" s="624"/>
      <c r="O3175" s="616"/>
      <c r="P3175" s="616"/>
      <c r="Q3175" s="616"/>
    </row>
    <row r="3176" spans="1:32" s="608" customFormat="1" x14ac:dyDescent="0.25">
      <c r="A3176" s="624"/>
      <c r="B3176" s="617">
        <v>39175938300</v>
      </c>
      <c r="C3176" s="617" t="s">
        <v>4844</v>
      </c>
      <c r="D3176" s="617" t="s">
        <v>111</v>
      </c>
      <c r="E3176" s="617" t="s">
        <v>1672</v>
      </c>
      <c r="F3176" s="617" t="s">
        <v>26</v>
      </c>
      <c r="G3176" s="624"/>
      <c r="O3176" s="616"/>
      <c r="P3176" s="616"/>
      <c r="Q3176" s="616"/>
    </row>
    <row r="3177" spans="1:32" s="608" customFormat="1" x14ac:dyDescent="0.25">
      <c r="A3177" s="624"/>
      <c r="B3177" s="617">
        <v>39175938400</v>
      </c>
      <c r="C3177" s="617" t="s">
        <v>4845</v>
      </c>
      <c r="D3177" s="617" t="s">
        <v>111</v>
      </c>
      <c r="E3177" s="617" t="s">
        <v>1672</v>
      </c>
      <c r="F3177" s="617" t="s">
        <v>26</v>
      </c>
      <c r="G3177" s="624"/>
      <c r="O3177" s="616"/>
      <c r="P3177" s="616"/>
      <c r="Q3177" s="616"/>
    </row>
    <row r="3178" spans="1:32" s="608" customFormat="1" x14ac:dyDescent="0.25">
      <c r="A3178" s="624"/>
      <c r="B3178" s="617">
        <v>39175938500</v>
      </c>
      <c r="C3178" s="617" t="s">
        <v>4846</v>
      </c>
      <c r="D3178" s="617" t="s">
        <v>111</v>
      </c>
      <c r="E3178" s="617" t="s">
        <v>1672</v>
      </c>
      <c r="F3178" s="617" t="s">
        <v>26</v>
      </c>
      <c r="G3178" s="624"/>
      <c r="H3178" s="194"/>
      <c r="I3178" s="194"/>
      <c r="J3178" s="194"/>
      <c r="O3178" s="616"/>
      <c r="P3178" s="616"/>
      <c r="Q3178" s="616"/>
    </row>
    <row r="3179" spans="1:32" x14ac:dyDescent="0.25">
      <c r="A3179" s="5"/>
      <c r="B3179" s="48"/>
      <c r="C3179" s="5"/>
      <c r="D3179" s="5"/>
      <c r="E3179" s="5"/>
      <c r="F3179" s="5"/>
      <c r="G3179" s="5"/>
      <c r="AE3179" s="608"/>
      <c r="AF3179" s="608"/>
    </row>
    <row r="3180" spans="1:32" x14ac:dyDescent="0.25">
      <c r="AE3180" s="608"/>
      <c r="AF3180" s="608"/>
    </row>
    <row r="3181" spans="1:32" x14ac:dyDescent="0.25">
      <c r="AE3181" s="608"/>
      <c r="AF3181" s="608"/>
    </row>
  </sheetData>
  <autoFilter ref="B10:F3178" xr:uid="{00000000-0001-0000-1B00-000000000000}"/>
  <mergeCells count="6">
    <mergeCell ref="U8:W9"/>
    <mergeCell ref="B6:F6"/>
    <mergeCell ref="H6:J6"/>
    <mergeCell ref="L6:W6"/>
    <mergeCell ref="Y6:Z6"/>
    <mergeCell ref="Y8:Z8"/>
  </mergeCells>
  <hyperlinks>
    <hyperlink ref="C8" r:id="rId1" xr:uid="{F6993528-D780-4898-89BE-DDEF1F8B4E84}"/>
    <hyperlink ref="I8" r:id="rId2" xr:uid="{615C9AD8-37F0-4DFE-BCD9-47926BBFFF24}"/>
    <hyperlink ref="M8" r:id="rId3" xr:uid="{361254DF-7082-473F-A886-01C89D7E2474}"/>
    <hyperlink ref="Y8:Z8" r:id="rId4" display="See 26 U.S.C. §42(g)(2)(C)." xr:uid="{6D33E2CF-76A3-4F6D-8D2C-B4888F040914}"/>
  </hyperlinks>
  <pageMargins left="0.7" right="0.7" top="0.75" bottom="0.75" header="0.3" footer="0.3"/>
  <pageSetup orientation="portrait" r:id="rId5"/>
  <drawing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dimension ref="A1:D373"/>
  <sheetViews>
    <sheetView topLeftCell="A246" zoomScale="80" zoomScaleNormal="80" workbookViewId="0">
      <selection activeCell="C46" sqref="C46"/>
    </sheetView>
  </sheetViews>
  <sheetFormatPr defaultColWidth="9" defaultRowHeight="13.8" x14ac:dyDescent="0.25"/>
  <cols>
    <col min="1" max="1" width="33.09765625" customWidth="1"/>
    <col min="2" max="2" width="28.69921875" customWidth="1"/>
    <col min="3" max="3" width="29.19921875" style="195" customWidth="1"/>
    <col min="4" max="4" width="25.19921875" customWidth="1"/>
  </cols>
  <sheetData>
    <row r="1" spans="1:4" s="5" customFormat="1" ht="54.9" customHeight="1" x14ac:dyDescent="0.25">
      <c r="C1" s="48"/>
    </row>
    <row r="2" spans="1:4" s="240" customFormat="1" ht="23.4" x14ac:dyDescent="0.4">
      <c r="A2" s="239" t="s">
        <v>989</v>
      </c>
      <c r="B2" s="239"/>
      <c r="C2" s="303"/>
    </row>
    <row r="3" spans="1:4" s="83" customFormat="1" ht="15" x14ac:dyDescent="0.25">
      <c r="A3" s="241" t="s">
        <v>1108</v>
      </c>
      <c r="B3" s="241" t="s">
        <v>1214</v>
      </c>
      <c r="C3" s="242">
        <f>'Project Details'!C7</f>
        <v>0</v>
      </c>
    </row>
    <row r="4" spans="1:4" x14ac:dyDescent="0.25">
      <c r="A4" s="497" t="s">
        <v>1055</v>
      </c>
      <c r="B4" s="497" t="s">
        <v>1308</v>
      </c>
      <c r="C4" s="498">
        <f>'Project Details'!C6</f>
        <v>0</v>
      </c>
      <c r="D4" t="s">
        <v>1522</v>
      </c>
    </row>
    <row r="5" spans="1:4" x14ac:dyDescent="0.25">
      <c r="A5" s="497" t="s">
        <v>6</v>
      </c>
      <c r="B5" s="497" t="s">
        <v>6</v>
      </c>
      <c r="C5" s="498">
        <f>'Project Details'!C7</f>
        <v>0</v>
      </c>
      <c r="D5" t="s">
        <v>1522</v>
      </c>
    </row>
    <row r="6" spans="1:4" x14ac:dyDescent="0.25">
      <c r="A6" s="497" t="s">
        <v>945</v>
      </c>
      <c r="B6" s="497" t="s">
        <v>112</v>
      </c>
      <c r="C6" s="498">
        <f>'Project Details'!C8</f>
        <v>0</v>
      </c>
      <c r="D6" t="s">
        <v>1522</v>
      </c>
    </row>
    <row r="7" spans="1:4" x14ac:dyDescent="0.25">
      <c r="A7" s="497" t="s">
        <v>946</v>
      </c>
      <c r="B7" s="497" t="s">
        <v>113</v>
      </c>
      <c r="C7" s="498">
        <f>'Project Details'!C9</f>
        <v>0</v>
      </c>
      <c r="D7" t="s">
        <v>1522</v>
      </c>
    </row>
    <row r="8" spans="1:4" x14ac:dyDescent="0.25">
      <c r="A8" s="497" t="s">
        <v>947</v>
      </c>
      <c r="B8" s="497" t="s">
        <v>1306</v>
      </c>
      <c r="C8" s="498">
        <f>'Project Details'!C10</f>
        <v>0</v>
      </c>
      <c r="D8" t="s">
        <v>1522</v>
      </c>
    </row>
    <row r="9" spans="1:4" x14ac:dyDescent="0.25">
      <c r="A9" s="497" t="s">
        <v>948</v>
      </c>
      <c r="B9" s="497" t="s">
        <v>9</v>
      </c>
      <c r="C9" s="498" t="str">
        <f>'Project Details'!C12</f>
        <v>Input 2020 Census Tract</v>
      </c>
      <c r="D9" t="s">
        <v>1522</v>
      </c>
    </row>
    <row r="10" spans="1:4" x14ac:dyDescent="0.25">
      <c r="A10" s="497" t="s">
        <v>949</v>
      </c>
      <c r="B10" s="497"/>
      <c r="C10" s="498">
        <f>'Project Details'!G8</f>
        <v>0</v>
      </c>
      <c r="D10" t="s">
        <v>1522</v>
      </c>
    </row>
    <row r="11" spans="1:4" x14ac:dyDescent="0.25">
      <c r="A11" s="497" t="s">
        <v>950</v>
      </c>
      <c r="B11" s="497"/>
      <c r="C11" s="498">
        <f>'Project Details'!G9</f>
        <v>0</v>
      </c>
      <c r="D11" t="s">
        <v>1522</v>
      </c>
    </row>
    <row r="12" spans="1:4" x14ac:dyDescent="0.25">
      <c r="A12" s="497" t="s">
        <v>14</v>
      </c>
      <c r="B12" s="497"/>
      <c r="C12" s="498">
        <f>'Project Details'!G10</f>
        <v>0</v>
      </c>
      <c r="D12" t="s">
        <v>1522</v>
      </c>
    </row>
    <row r="13" spans="1:4" x14ac:dyDescent="0.25">
      <c r="A13" s="497" t="s">
        <v>1031</v>
      </c>
      <c r="B13" s="497"/>
      <c r="C13" s="498">
        <f>'Project Details'!G6</f>
        <v>0</v>
      </c>
      <c r="D13" t="s">
        <v>1522</v>
      </c>
    </row>
    <row r="14" spans="1:4" x14ac:dyDescent="0.25">
      <c r="A14" s="497" t="s">
        <v>1032</v>
      </c>
      <c r="B14" s="497"/>
      <c r="C14" s="498">
        <f>'Project Details'!G7</f>
        <v>0</v>
      </c>
      <c r="D14" t="s">
        <v>1522</v>
      </c>
    </row>
    <row r="15" spans="1:4" x14ac:dyDescent="0.25">
      <c r="A15" s="497" t="s">
        <v>171</v>
      </c>
      <c r="B15" s="497" t="s">
        <v>171</v>
      </c>
      <c r="C15" s="498">
        <f>'Project Details'!G11</f>
        <v>0</v>
      </c>
      <c r="D15" t="s">
        <v>1522</v>
      </c>
    </row>
    <row r="16" spans="1:4" x14ac:dyDescent="0.25">
      <c r="A16" s="497" t="s">
        <v>562</v>
      </c>
      <c r="B16" s="497" t="s">
        <v>1307</v>
      </c>
      <c r="C16" s="498" t="str">
        <f>'Project Details'!C14</f>
        <v>Please input 2010 Census Tract</v>
      </c>
      <c r="D16" t="s">
        <v>1522</v>
      </c>
    </row>
    <row r="17" spans="1:4" x14ac:dyDescent="0.25">
      <c r="A17" s="497" t="s">
        <v>21</v>
      </c>
      <c r="B17" s="497"/>
      <c r="C17" s="498" t="str">
        <f>'Project Details'!C15</f>
        <v>Please input 2010 Census Tract</v>
      </c>
      <c r="D17" t="s">
        <v>1522</v>
      </c>
    </row>
    <row r="18" spans="1:4" x14ac:dyDescent="0.25">
      <c r="A18" s="497" t="s">
        <v>22</v>
      </c>
      <c r="B18" s="497"/>
      <c r="C18" s="498" t="str">
        <f>'Project Details'!C16</f>
        <v>Please input 2010 Census Tract</v>
      </c>
      <c r="D18" t="s">
        <v>1522</v>
      </c>
    </row>
    <row r="19" spans="1:4" x14ac:dyDescent="0.25">
      <c r="A19" s="497" t="s">
        <v>840</v>
      </c>
      <c r="B19" s="497" t="s">
        <v>1309</v>
      </c>
      <c r="C19" s="498" t="str">
        <f>'Project Details'!G14</f>
        <v>Input 2020 Tract</v>
      </c>
      <c r="D19" t="s">
        <v>1522</v>
      </c>
    </row>
    <row r="20" spans="1:4" x14ac:dyDescent="0.25">
      <c r="A20" s="497" t="s">
        <v>842</v>
      </c>
      <c r="B20" s="497" t="s">
        <v>842</v>
      </c>
      <c r="C20" s="498" t="str">
        <f>'Project Details'!G15</f>
        <v>Input Zip Code</v>
      </c>
      <c r="D20" t="s">
        <v>1522</v>
      </c>
    </row>
    <row r="21" spans="1:4" x14ac:dyDescent="0.25">
      <c r="A21" s="497" t="s">
        <v>837</v>
      </c>
      <c r="B21" s="497"/>
      <c r="C21" s="498">
        <f>'Project Details'!G16</f>
        <v>0</v>
      </c>
      <c r="D21" t="s">
        <v>1522</v>
      </c>
    </row>
    <row r="22" spans="1:4" x14ac:dyDescent="0.25">
      <c r="A22" s="499" t="s">
        <v>1387</v>
      </c>
      <c r="B22" s="499"/>
      <c r="C22" s="500" t="str">
        <f>'Project Details'!C19</f>
        <v>4% LIHTC Only</v>
      </c>
    </row>
    <row r="23" spans="1:4" x14ac:dyDescent="0.25">
      <c r="A23" s="499" t="s">
        <v>838</v>
      </c>
      <c r="B23" s="499"/>
      <c r="C23" s="500" t="str">
        <f>'Project Details'!C20</f>
        <v>4% LIHTC</v>
      </c>
    </row>
    <row r="24" spans="1:4" x14ac:dyDescent="0.25">
      <c r="A24" s="499" t="s">
        <v>563</v>
      </c>
      <c r="B24" s="499"/>
      <c r="C24" s="500" t="str">
        <f>'Project Details'!C21</f>
        <v>N/A</v>
      </c>
    </row>
    <row r="25" spans="1:4" x14ac:dyDescent="0.25">
      <c r="A25" s="499" t="s">
        <v>1446</v>
      </c>
      <c r="B25" s="499"/>
      <c r="C25" s="500" t="str">
        <f>'Project Details'!C22</f>
        <v>N/A</v>
      </c>
    </row>
    <row r="26" spans="1:4" x14ac:dyDescent="0.25">
      <c r="A26" s="499" t="s">
        <v>1447</v>
      </c>
      <c r="B26" s="499"/>
      <c r="C26" s="500">
        <f>'Project Details'!G19</f>
        <v>0</v>
      </c>
    </row>
    <row r="27" spans="1:4" x14ac:dyDescent="0.25">
      <c r="A27" s="499" t="s">
        <v>1410</v>
      </c>
      <c r="B27" s="499"/>
      <c r="C27" s="500">
        <f>'Project Details'!C25</f>
        <v>0</v>
      </c>
    </row>
    <row r="28" spans="1:4" x14ac:dyDescent="0.25">
      <c r="A28" s="499" t="s">
        <v>1409</v>
      </c>
      <c r="B28" s="499"/>
      <c r="C28" s="500">
        <f>'Project Details'!C26</f>
        <v>0</v>
      </c>
    </row>
    <row r="29" spans="1:4" x14ac:dyDescent="0.25">
      <c r="A29" s="499" t="s">
        <v>1383</v>
      </c>
      <c r="B29" s="499"/>
      <c r="C29" s="500">
        <f>'Project Details'!C27</f>
        <v>0</v>
      </c>
    </row>
    <row r="30" spans="1:4" x14ac:dyDescent="0.25">
      <c r="A30" s="499" t="s">
        <v>1384</v>
      </c>
      <c r="B30" s="499"/>
      <c r="C30" s="500">
        <f>'Project Details'!C28</f>
        <v>0</v>
      </c>
    </row>
    <row r="31" spans="1:4" x14ac:dyDescent="0.25">
      <c r="A31" s="499" t="s">
        <v>1385</v>
      </c>
      <c r="B31" s="499"/>
      <c r="C31" s="500">
        <f>'Project Details'!C29</f>
        <v>0</v>
      </c>
    </row>
    <row r="32" spans="1:4" x14ac:dyDescent="0.25">
      <c r="A32" s="499" t="s">
        <v>1107</v>
      </c>
      <c r="B32" s="499"/>
      <c r="C32" s="500">
        <f>'Project Details'!C30</f>
        <v>0</v>
      </c>
    </row>
    <row r="33" spans="1:4" x14ac:dyDescent="0.25">
      <c r="A33" s="499" t="s">
        <v>965</v>
      </c>
      <c r="B33" s="499"/>
      <c r="C33" s="499" t="str">
        <f>IF('Budget &amp; Costs'!G238&gt;0,"Yes","No")</f>
        <v>No</v>
      </c>
    </row>
    <row r="34" spans="1:4" x14ac:dyDescent="0.25">
      <c r="A34" t="s">
        <v>968</v>
      </c>
      <c r="C34" s="310">
        <f>'Project Details'!C267</f>
        <v>0</v>
      </c>
    </row>
    <row r="35" spans="1:4" x14ac:dyDescent="0.25">
      <c r="A35" s="243" t="s">
        <v>566</v>
      </c>
      <c r="B35" s="243" t="s">
        <v>1331</v>
      </c>
      <c r="C35" s="243">
        <f>LIHTCs!C27</f>
        <v>0</v>
      </c>
    </row>
    <row r="36" spans="1:4" x14ac:dyDescent="0.25">
      <c r="A36" s="243" t="s">
        <v>578</v>
      </c>
      <c r="B36" s="243"/>
      <c r="C36" s="243">
        <f>LIHTCs!C54</f>
        <v>0</v>
      </c>
    </row>
    <row r="37" spans="1:4" x14ac:dyDescent="0.25">
      <c r="A37" s="243" t="s">
        <v>1480</v>
      </c>
      <c r="B37" s="243"/>
      <c r="C37" s="243">
        <f>LIHTCs!C56</f>
        <v>0</v>
      </c>
    </row>
    <row r="38" spans="1:4" x14ac:dyDescent="0.25">
      <c r="A38" s="243" t="s">
        <v>1481</v>
      </c>
      <c r="B38" s="243" t="s">
        <v>1332</v>
      </c>
      <c r="C38" s="243">
        <f>LIHTCs!C69</f>
        <v>0</v>
      </c>
    </row>
    <row r="39" spans="1:4" x14ac:dyDescent="0.25">
      <c r="A39" s="243" t="s">
        <v>1448</v>
      </c>
      <c r="B39" s="243"/>
      <c r="C39" s="502">
        <f>'Project Details'!G26</f>
        <v>0</v>
      </c>
    </row>
    <row r="40" spans="1:4" x14ac:dyDescent="0.25">
      <c r="A40" s="243" t="s">
        <v>1450</v>
      </c>
      <c r="B40" s="243"/>
      <c r="C40" s="502">
        <f>'Project Details'!G27</f>
        <v>0</v>
      </c>
    </row>
    <row r="41" spans="1:4" x14ac:dyDescent="0.25">
      <c r="A41" s="243" t="s">
        <v>1449</v>
      </c>
      <c r="B41" s="243"/>
      <c r="C41" s="502">
        <f>'Project Details'!G28</f>
        <v>0</v>
      </c>
    </row>
    <row r="42" spans="1:4" x14ac:dyDescent="0.25">
      <c r="A42" s="243" t="s">
        <v>966</v>
      </c>
      <c r="B42" s="243"/>
      <c r="C42" s="501">
        <f>LIHTCs!C43</f>
        <v>0</v>
      </c>
      <c r="D42" t="s">
        <v>1305</v>
      </c>
    </row>
    <row r="43" spans="1:4" x14ac:dyDescent="0.25">
      <c r="A43" s="243" t="s">
        <v>1482</v>
      </c>
      <c r="B43" s="243"/>
      <c r="C43" s="501">
        <f>LIHTCs!C39</f>
        <v>0</v>
      </c>
      <c r="D43" t="s">
        <v>1305</v>
      </c>
    </row>
    <row r="44" spans="1:4" x14ac:dyDescent="0.25">
      <c r="A44" s="243" t="s">
        <v>1483</v>
      </c>
      <c r="B44" s="243"/>
      <c r="C44" s="501">
        <f>LIHTCs!D39</f>
        <v>0</v>
      </c>
      <c r="D44" t="s">
        <v>1305</v>
      </c>
    </row>
    <row r="45" spans="1:4" x14ac:dyDescent="0.25">
      <c r="A45" s="243" t="s">
        <v>1484</v>
      </c>
      <c r="B45" s="243"/>
      <c r="C45" s="501">
        <f>LIHTCs!E39</f>
        <v>0</v>
      </c>
      <c r="D45" t="s">
        <v>1305</v>
      </c>
    </row>
    <row r="46" spans="1:4" x14ac:dyDescent="0.25">
      <c r="A46" s="243" t="s">
        <v>1301</v>
      </c>
      <c r="B46" s="243"/>
      <c r="C46" s="501" t="e">
        <f>SUM('Budget &amp; Costs'!#REF!,'Budget &amp; Costs'!#REF!)</f>
        <v>#REF!</v>
      </c>
      <c r="D46" t="s">
        <v>1305</v>
      </c>
    </row>
    <row r="47" spans="1:4" x14ac:dyDescent="0.25">
      <c r="A47" s="243" t="s">
        <v>1303</v>
      </c>
      <c r="B47" s="243"/>
      <c r="C47" s="501">
        <f>'HDL+Wage Rates+MLP'!D8</f>
        <v>0</v>
      </c>
      <c r="D47" t="s">
        <v>1305</v>
      </c>
    </row>
    <row r="48" spans="1:4" x14ac:dyDescent="0.25">
      <c r="A48" s="243" t="s">
        <v>1302</v>
      </c>
      <c r="B48" s="243"/>
      <c r="C48" s="501">
        <f>'HDL+Wage Rates+MLP'!D31</f>
        <v>0</v>
      </c>
      <c r="D48" t="s">
        <v>1305</v>
      </c>
    </row>
    <row r="49" spans="1:4" x14ac:dyDescent="0.25">
      <c r="A49" s="243" t="s">
        <v>1485</v>
      </c>
      <c r="B49" s="243"/>
      <c r="C49" s="501" t="e">
        <f>'Multifamily Bonds'!D14:D17</f>
        <v>#VALUE!</v>
      </c>
      <c r="D49" t="s">
        <v>1305</v>
      </c>
    </row>
    <row r="50" spans="1:4" x14ac:dyDescent="0.25">
      <c r="A50" s="243" t="s">
        <v>1304</v>
      </c>
      <c r="B50" s="243"/>
      <c r="C50" s="502">
        <f>'Project Details'!C52</f>
        <v>0</v>
      </c>
      <c r="D50" t="s">
        <v>1524</v>
      </c>
    </row>
    <row r="51" spans="1:4" x14ac:dyDescent="0.25">
      <c r="A51" s="243" t="s">
        <v>1271</v>
      </c>
      <c r="B51" s="243"/>
      <c r="C51" s="502">
        <f>'Project Details'!C53</f>
        <v>0</v>
      </c>
      <c r="D51" t="s">
        <v>1524</v>
      </c>
    </row>
    <row r="52" spans="1:4" x14ac:dyDescent="0.25">
      <c r="A52" s="243" t="s">
        <v>969</v>
      </c>
      <c r="B52" s="243"/>
      <c r="C52" s="502">
        <f>'Project Details'!C54</f>
        <v>0</v>
      </c>
      <c r="D52" t="s">
        <v>1524</v>
      </c>
    </row>
    <row r="53" spans="1:4" x14ac:dyDescent="0.25">
      <c r="A53" s="243" t="s">
        <v>1027</v>
      </c>
      <c r="B53" s="243"/>
      <c r="C53" s="502">
        <f>'Budget &amp; Costs'!E224</f>
        <v>0</v>
      </c>
      <c r="D53" t="s">
        <v>1524</v>
      </c>
    </row>
    <row r="54" spans="1:4" x14ac:dyDescent="0.25">
      <c r="A54" s="243" t="s">
        <v>1506</v>
      </c>
      <c r="B54" s="243"/>
      <c r="C54" s="502">
        <f>'Project Details'!C55</f>
        <v>0</v>
      </c>
      <c r="D54" t="s">
        <v>1524</v>
      </c>
    </row>
    <row r="55" spans="1:4" x14ac:dyDescent="0.25">
      <c r="A55" s="243" t="s">
        <v>1507</v>
      </c>
      <c r="B55" s="243"/>
      <c r="C55" s="502">
        <f>'Project Details'!C56</f>
        <v>0</v>
      </c>
      <c r="D55" t="s">
        <v>1524</v>
      </c>
    </row>
    <row r="56" spans="1:4" x14ac:dyDescent="0.25">
      <c r="A56" s="246" t="s">
        <v>1023</v>
      </c>
      <c r="B56" s="246"/>
      <c r="C56" s="311">
        <f>'Project Details'!C34</f>
        <v>0</v>
      </c>
      <c r="D56" t="s">
        <v>1127</v>
      </c>
    </row>
    <row r="57" spans="1:4" x14ac:dyDescent="0.25">
      <c r="A57" s="246" t="s">
        <v>1045</v>
      </c>
      <c r="B57" s="246"/>
      <c r="C57" s="311">
        <f>'Project Details'!C35</f>
        <v>0</v>
      </c>
      <c r="D57" t="s">
        <v>1127</v>
      </c>
    </row>
    <row r="58" spans="1:4" x14ac:dyDescent="0.25">
      <c r="A58" s="246" t="s">
        <v>1044</v>
      </c>
      <c r="B58" s="246"/>
      <c r="C58" s="311">
        <f>'Project Details'!C36</f>
        <v>0</v>
      </c>
      <c r="D58" t="s">
        <v>1127</v>
      </c>
    </row>
    <row r="59" spans="1:4" x14ac:dyDescent="0.25">
      <c r="A59" s="246" t="s">
        <v>1025</v>
      </c>
      <c r="B59" s="246"/>
      <c r="C59" s="311">
        <f>'Project Details'!C38</f>
        <v>0</v>
      </c>
      <c r="D59" t="s">
        <v>1127</v>
      </c>
    </row>
    <row r="60" spans="1:4" x14ac:dyDescent="0.25">
      <c r="A60" s="246" t="s">
        <v>1486</v>
      </c>
      <c r="B60" s="246"/>
      <c r="C60" s="311">
        <f>'Project Details'!G34</f>
        <v>0</v>
      </c>
      <c r="D60" t="s">
        <v>1127</v>
      </c>
    </row>
    <row r="61" spans="1:4" x14ac:dyDescent="0.25">
      <c r="A61" s="246" t="s">
        <v>1487</v>
      </c>
      <c r="B61" s="246"/>
      <c r="C61" s="311">
        <f>'Project Details'!G35</f>
        <v>0</v>
      </c>
      <c r="D61" t="s">
        <v>1127</v>
      </c>
    </row>
    <row r="62" spans="1:4" x14ac:dyDescent="0.25">
      <c r="A62" s="246" t="s">
        <v>1488</v>
      </c>
      <c r="B62" s="246"/>
      <c r="C62" s="311">
        <f>'Project Details'!G36</f>
        <v>0</v>
      </c>
      <c r="D62" t="s">
        <v>1127</v>
      </c>
    </row>
    <row r="63" spans="1:4" x14ac:dyDescent="0.25">
      <c r="A63" s="246" t="s">
        <v>1046</v>
      </c>
      <c r="B63" s="246"/>
      <c r="C63" s="490">
        <f>'Project Details'!C37</f>
        <v>0</v>
      </c>
      <c r="D63" t="s">
        <v>1127</v>
      </c>
    </row>
    <row r="64" spans="1:4" x14ac:dyDescent="0.25">
      <c r="A64" s="246" t="s">
        <v>970</v>
      </c>
      <c r="B64" s="246"/>
      <c r="C64" s="311">
        <f>'Project Details'!G37</f>
        <v>0</v>
      </c>
      <c r="D64" t="s">
        <v>1127</v>
      </c>
    </row>
    <row r="65" spans="1:4" x14ac:dyDescent="0.25">
      <c r="A65" s="497" t="s">
        <v>1030</v>
      </c>
      <c r="B65" s="497"/>
      <c r="C65" s="503">
        <f>'Proposal Summary'!I60</f>
        <v>0</v>
      </c>
      <c r="D65" t="s">
        <v>1527</v>
      </c>
    </row>
    <row r="66" spans="1:4" x14ac:dyDescent="0.25">
      <c r="A66" s="497" t="s">
        <v>1508</v>
      </c>
      <c r="B66" s="497"/>
      <c r="C66" s="504" t="e">
        <f>#REF!</f>
        <v>#REF!</v>
      </c>
      <c r="D66" t="s">
        <v>1527</v>
      </c>
    </row>
    <row r="67" spans="1:4" x14ac:dyDescent="0.25">
      <c r="A67" s="497" t="s">
        <v>1509</v>
      </c>
      <c r="B67" s="497"/>
      <c r="C67" s="504" t="e">
        <f>#REF!</f>
        <v>#REF!</v>
      </c>
      <c r="D67" t="s">
        <v>1527</v>
      </c>
    </row>
    <row r="68" spans="1:4" x14ac:dyDescent="0.25">
      <c r="A68" s="497" t="s">
        <v>1510</v>
      </c>
      <c r="B68" s="497"/>
      <c r="C68" s="504" t="e">
        <f>#REF!</f>
        <v>#REF!</v>
      </c>
      <c r="D68" t="s">
        <v>1527</v>
      </c>
    </row>
    <row r="69" spans="1:4" x14ac:dyDescent="0.25">
      <c r="A69" s="497" t="s">
        <v>1511</v>
      </c>
      <c r="B69" s="497"/>
      <c r="C69" s="504" t="e">
        <f>#REF!</f>
        <v>#REF!</v>
      </c>
      <c r="D69" t="s">
        <v>1527</v>
      </c>
    </row>
    <row r="70" spans="1:4" x14ac:dyDescent="0.25">
      <c r="A70" s="497" t="s">
        <v>1512</v>
      </c>
      <c r="B70" s="497"/>
      <c r="C70" s="504" t="e">
        <f>#REF!</f>
        <v>#REF!</v>
      </c>
      <c r="D70" t="s">
        <v>1527</v>
      </c>
    </row>
    <row r="71" spans="1:4" x14ac:dyDescent="0.25">
      <c r="A71" s="497" t="s">
        <v>1513</v>
      </c>
      <c r="B71" s="497"/>
      <c r="C71" s="504" t="e">
        <f>#REF!</f>
        <v>#REF!</v>
      </c>
      <c r="D71" t="s">
        <v>1527</v>
      </c>
    </row>
    <row r="72" spans="1:4" x14ac:dyDescent="0.25">
      <c r="A72" s="497" t="s">
        <v>1514</v>
      </c>
      <c r="B72" s="497"/>
      <c r="C72" s="504" t="e">
        <f>#REF!</f>
        <v>#REF!</v>
      </c>
      <c r="D72" t="s">
        <v>1527</v>
      </c>
    </row>
    <row r="73" spans="1:4" x14ac:dyDescent="0.25">
      <c r="A73" s="497" t="s">
        <v>1515</v>
      </c>
      <c r="B73" s="497"/>
      <c r="C73" s="504" t="e">
        <f>#REF!</f>
        <v>#REF!</v>
      </c>
      <c r="D73" t="s">
        <v>1527</v>
      </c>
    </row>
    <row r="74" spans="1:4" x14ac:dyDescent="0.25">
      <c r="A74" s="497" t="s">
        <v>1516</v>
      </c>
      <c r="B74" s="497"/>
      <c r="C74" s="504" t="e">
        <f>#REF!</f>
        <v>#REF!</v>
      </c>
      <c r="D74" t="s">
        <v>1527</v>
      </c>
    </row>
    <row r="75" spans="1:4" x14ac:dyDescent="0.25">
      <c r="A75" t="s">
        <v>892</v>
      </c>
      <c r="C75" s="195">
        <f>'Project Details'!G29</f>
        <v>0</v>
      </c>
      <c r="D75" t="s">
        <v>1526</v>
      </c>
    </row>
    <row r="76" spans="1:4" x14ac:dyDescent="0.25">
      <c r="A76" t="s">
        <v>1004</v>
      </c>
      <c r="B76" t="s">
        <v>1215</v>
      </c>
      <c r="C76" s="195">
        <f>'Project Details'!G30</f>
        <v>0</v>
      </c>
      <c r="D76" t="s">
        <v>1526</v>
      </c>
    </row>
    <row r="77" spans="1:4" x14ac:dyDescent="0.25">
      <c r="A77" t="s">
        <v>1386</v>
      </c>
      <c r="B77" t="s">
        <v>1310</v>
      </c>
      <c r="C77" s="195">
        <f>'Project Details'!G31</f>
        <v>0</v>
      </c>
      <c r="D77" t="s">
        <v>1526</v>
      </c>
    </row>
    <row r="78" spans="1:4" x14ac:dyDescent="0.25">
      <c r="A78" t="s">
        <v>1005</v>
      </c>
      <c r="C78" s="195">
        <f>'Project Details'!C62</f>
        <v>0</v>
      </c>
      <c r="D78" t="s">
        <v>1525</v>
      </c>
    </row>
    <row r="79" spans="1:4" x14ac:dyDescent="0.25">
      <c r="A79" t="s">
        <v>161</v>
      </c>
      <c r="C79" s="195">
        <f>'Project Details'!C63</f>
        <v>0</v>
      </c>
      <c r="D79" t="s">
        <v>1525</v>
      </c>
    </row>
    <row r="80" spans="1:4" x14ac:dyDescent="0.25">
      <c r="A80" t="s">
        <v>160</v>
      </c>
      <c r="C80" s="195" t="e">
        <f>'Project Details'!#REF!</f>
        <v>#REF!</v>
      </c>
      <c r="D80" t="s">
        <v>1525</v>
      </c>
    </row>
    <row r="81" spans="1:4" x14ac:dyDescent="0.25">
      <c r="A81" t="s">
        <v>159</v>
      </c>
      <c r="C81" s="195" t="e">
        <f>'Project Details'!#REF!</f>
        <v>#REF!</v>
      </c>
      <c r="D81" t="s">
        <v>1525</v>
      </c>
    </row>
    <row r="82" spans="1:4" x14ac:dyDescent="0.25">
      <c r="A82" t="s">
        <v>162</v>
      </c>
      <c r="C82" s="195">
        <f>'Project Details'!C64</f>
        <v>0</v>
      </c>
      <c r="D82" t="s">
        <v>1525</v>
      </c>
    </row>
    <row r="83" spans="1:4" x14ac:dyDescent="0.25">
      <c r="A83" t="s">
        <v>158</v>
      </c>
      <c r="C83" s="195">
        <f>'Project Details'!C65</f>
        <v>0</v>
      </c>
      <c r="D83" t="s">
        <v>1525</v>
      </c>
    </row>
    <row r="84" spans="1:4" x14ac:dyDescent="0.25">
      <c r="A84" s="247" t="s">
        <v>1054</v>
      </c>
      <c r="B84" s="247" t="s">
        <v>1054</v>
      </c>
      <c r="C84" s="247" t="e">
        <f>'Project Details'!C200:F204</f>
        <v>#VALUE!</v>
      </c>
      <c r="D84" t="s">
        <v>1529</v>
      </c>
    </row>
    <row r="85" spans="1:4" x14ac:dyDescent="0.25">
      <c r="A85" s="247" t="s">
        <v>1053</v>
      </c>
      <c r="B85" s="247" t="s">
        <v>1334</v>
      </c>
      <c r="C85" s="247" t="str">
        <f>'Project Details'!K173</f>
        <v>Enter Date Constructed</v>
      </c>
      <c r="D85" t="s">
        <v>1529</v>
      </c>
    </row>
    <row r="86" spans="1:4" x14ac:dyDescent="0.25">
      <c r="A86" s="247" t="s">
        <v>590</v>
      </c>
      <c r="B86" s="247" t="s">
        <v>590</v>
      </c>
      <c r="C86" s="247">
        <f>'Budget &amp; Costs'!D49</f>
        <v>0</v>
      </c>
      <c r="D86" t="s">
        <v>1529</v>
      </c>
    </row>
    <row r="87" spans="1:4" x14ac:dyDescent="0.25">
      <c r="A87" s="247" t="s">
        <v>1059</v>
      </c>
      <c r="B87" s="247" t="s">
        <v>1314</v>
      </c>
      <c r="C87" s="247">
        <f>'Budget &amp; Costs'!D50</f>
        <v>0</v>
      </c>
      <c r="D87" t="s">
        <v>1529</v>
      </c>
    </row>
    <row r="88" spans="1:4" x14ac:dyDescent="0.25">
      <c r="A88" s="247" t="s">
        <v>1451</v>
      </c>
      <c r="B88" s="247"/>
      <c r="C88" s="247">
        <f>'Budget &amp; Costs'!D52</f>
        <v>0</v>
      </c>
      <c r="D88" t="s">
        <v>1529</v>
      </c>
    </row>
    <row r="89" spans="1:4" x14ac:dyDescent="0.25">
      <c r="A89" s="247" t="s">
        <v>1452</v>
      </c>
      <c r="B89" s="247"/>
      <c r="C89" s="247">
        <f>'Budget &amp; Costs'!D53</f>
        <v>0</v>
      </c>
      <c r="D89" t="s">
        <v>1529</v>
      </c>
    </row>
    <row r="90" spans="1:4" x14ac:dyDescent="0.25">
      <c r="A90" s="247" t="s">
        <v>1090</v>
      </c>
      <c r="B90" s="247"/>
      <c r="C90" s="247">
        <f>'Project Details'!U173</f>
        <v>0</v>
      </c>
      <c r="D90" t="s">
        <v>1528</v>
      </c>
    </row>
    <row r="91" spans="1:4" x14ac:dyDescent="0.25">
      <c r="A91" s="247" t="s">
        <v>1091</v>
      </c>
      <c r="B91" s="247"/>
      <c r="C91" s="247">
        <f>'Project Details'!V173</f>
        <v>0</v>
      </c>
      <c r="D91" t="s">
        <v>1528</v>
      </c>
    </row>
    <row r="92" spans="1:4" x14ac:dyDescent="0.25">
      <c r="A92" s="247" t="s">
        <v>1057</v>
      </c>
      <c r="B92" s="247"/>
      <c r="C92" s="247">
        <f>'Budget &amp; Costs'!D55</f>
        <v>0</v>
      </c>
      <c r="D92" t="s">
        <v>1528</v>
      </c>
    </row>
    <row r="93" spans="1:4" x14ac:dyDescent="0.25">
      <c r="A93" s="247" t="s">
        <v>1499</v>
      </c>
      <c r="B93" s="247" t="s">
        <v>1311</v>
      </c>
      <c r="C93" s="247">
        <f>'Budget &amp; Costs'!D56</f>
        <v>0</v>
      </c>
      <c r="D93" t="s">
        <v>1528</v>
      </c>
    </row>
    <row r="94" spans="1:4" x14ac:dyDescent="0.25">
      <c r="A94" s="247" t="s">
        <v>1058</v>
      </c>
      <c r="B94" s="247"/>
      <c r="C94" s="247">
        <f>'Budget &amp; Costs'!D57</f>
        <v>0</v>
      </c>
      <c r="D94" t="s">
        <v>1528</v>
      </c>
    </row>
    <row r="95" spans="1:4" x14ac:dyDescent="0.25">
      <c r="A95" s="247" t="s">
        <v>1500</v>
      </c>
      <c r="B95" s="247" t="s">
        <v>1312</v>
      </c>
      <c r="C95" s="247">
        <f>'Budget &amp; Costs'!D58</f>
        <v>0</v>
      </c>
      <c r="D95" t="s">
        <v>1528</v>
      </c>
    </row>
    <row r="96" spans="1:4" x14ac:dyDescent="0.25">
      <c r="A96" s="247" t="s">
        <v>1498</v>
      </c>
      <c r="B96" s="247"/>
      <c r="C96" s="247">
        <f>'Budget &amp; Costs'!D59</f>
        <v>0</v>
      </c>
      <c r="D96" t="s">
        <v>1528</v>
      </c>
    </row>
    <row r="97" spans="1:4" x14ac:dyDescent="0.25">
      <c r="A97" s="247" t="s">
        <v>1501</v>
      </c>
      <c r="B97" s="247" t="s">
        <v>1313</v>
      </c>
      <c r="C97" s="247">
        <f>'Budget &amp; Costs'!D60</f>
        <v>0</v>
      </c>
      <c r="D97" t="s">
        <v>1528</v>
      </c>
    </row>
    <row r="98" spans="1:4" x14ac:dyDescent="0.25">
      <c r="A98" s="247" t="s">
        <v>1453</v>
      </c>
      <c r="B98" s="247" t="s">
        <v>1315</v>
      </c>
      <c r="C98" s="304">
        <f>'Budget &amp; Costs'!D79</f>
        <v>0</v>
      </c>
      <c r="D98" t="s">
        <v>1290</v>
      </c>
    </row>
    <row r="99" spans="1:4" x14ac:dyDescent="0.25">
      <c r="A99" s="247" t="s">
        <v>1454</v>
      </c>
      <c r="B99" s="247" t="s">
        <v>1316</v>
      </c>
      <c r="C99" s="304">
        <f>'Budget &amp; Costs'!D78</f>
        <v>0</v>
      </c>
      <c r="D99" t="s">
        <v>1290</v>
      </c>
    </row>
    <row r="100" spans="1:4" x14ac:dyDescent="0.25">
      <c r="A100" s="247" t="s">
        <v>1455</v>
      </c>
      <c r="B100" s="247" t="s">
        <v>1317</v>
      </c>
      <c r="C100" s="304">
        <f>'Budget &amp; Costs'!D77</f>
        <v>0</v>
      </c>
      <c r="D100" t="s">
        <v>1290</v>
      </c>
    </row>
    <row r="101" spans="1:4" x14ac:dyDescent="0.25">
      <c r="A101" s="247" t="s">
        <v>1456</v>
      </c>
      <c r="B101" s="247" t="s">
        <v>1318</v>
      </c>
      <c r="C101" s="304">
        <f>'Budget &amp; Costs'!D76</f>
        <v>0</v>
      </c>
      <c r="D101" t="s">
        <v>1290</v>
      </c>
    </row>
    <row r="102" spans="1:4" x14ac:dyDescent="0.25">
      <c r="A102" s="247" t="s">
        <v>1457</v>
      </c>
      <c r="B102" s="247" t="s">
        <v>1319</v>
      </c>
      <c r="C102" s="304">
        <f>'Budget &amp; Costs'!D75</f>
        <v>0</v>
      </c>
      <c r="D102" t="s">
        <v>1290</v>
      </c>
    </row>
    <row r="103" spans="1:4" x14ac:dyDescent="0.25">
      <c r="A103" s="247" t="s">
        <v>1458</v>
      </c>
      <c r="B103" s="247" t="s">
        <v>1320</v>
      </c>
      <c r="C103" s="304">
        <f>'Budget &amp; Costs'!D74</f>
        <v>0</v>
      </c>
      <c r="D103" t="s">
        <v>1290</v>
      </c>
    </row>
    <row r="104" spans="1:4" x14ac:dyDescent="0.25">
      <c r="A104" s="247" t="s">
        <v>1459</v>
      </c>
      <c r="B104" s="247" t="s">
        <v>1321</v>
      </c>
      <c r="C104" s="304">
        <f>'Budget &amp; Costs'!D73</f>
        <v>0</v>
      </c>
      <c r="D104" t="s">
        <v>1290</v>
      </c>
    </row>
    <row r="105" spans="1:4" x14ac:dyDescent="0.25">
      <c r="A105" s="247" t="s">
        <v>1051</v>
      </c>
      <c r="B105" s="247" t="s">
        <v>1322</v>
      </c>
      <c r="C105" s="304">
        <f>'Budget &amp; Costs'!C44</f>
        <v>0</v>
      </c>
      <c r="D105" t="s">
        <v>1290</v>
      </c>
    </row>
    <row r="106" spans="1:4" x14ac:dyDescent="0.25">
      <c r="A106" s="247" t="s">
        <v>1466</v>
      </c>
      <c r="B106" s="247" t="s">
        <v>1467</v>
      </c>
      <c r="C106" s="304">
        <f>'Budget &amp; Costs'!D64</f>
        <v>0</v>
      </c>
      <c r="D106" t="s">
        <v>1474</v>
      </c>
    </row>
    <row r="107" spans="1:4" x14ac:dyDescent="0.25">
      <c r="A107" s="247" t="s">
        <v>1465</v>
      </c>
      <c r="B107" s="247" t="s">
        <v>1468</v>
      </c>
      <c r="C107" s="304">
        <f>'Budget &amp; Costs'!D65</f>
        <v>0</v>
      </c>
      <c r="D107" t="s">
        <v>1474</v>
      </c>
    </row>
    <row r="108" spans="1:4" x14ac:dyDescent="0.25">
      <c r="A108" s="247" t="s">
        <v>1464</v>
      </c>
      <c r="B108" s="247" t="s">
        <v>1469</v>
      </c>
      <c r="C108" s="304">
        <f>'Budget &amp; Costs'!D66</f>
        <v>0</v>
      </c>
      <c r="D108" t="s">
        <v>1474</v>
      </c>
    </row>
    <row r="109" spans="1:4" x14ac:dyDescent="0.25">
      <c r="A109" s="247" t="s">
        <v>1463</v>
      </c>
      <c r="B109" s="247" t="s">
        <v>1470</v>
      </c>
      <c r="C109" s="304">
        <f>'Budget &amp; Costs'!D67</f>
        <v>0</v>
      </c>
      <c r="D109" t="s">
        <v>1474</v>
      </c>
    </row>
    <row r="110" spans="1:4" x14ac:dyDescent="0.25">
      <c r="A110" s="247" t="s">
        <v>1462</v>
      </c>
      <c r="B110" s="247" t="s">
        <v>1471</v>
      </c>
      <c r="C110" s="304">
        <f>'Budget &amp; Costs'!D68</f>
        <v>0</v>
      </c>
      <c r="D110" t="s">
        <v>1474</v>
      </c>
    </row>
    <row r="111" spans="1:4" x14ac:dyDescent="0.25">
      <c r="A111" s="247" t="s">
        <v>1461</v>
      </c>
      <c r="B111" s="247" t="s">
        <v>1472</v>
      </c>
      <c r="C111" s="304">
        <f>'Budget &amp; Costs'!D69</f>
        <v>0</v>
      </c>
      <c r="D111" t="s">
        <v>1474</v>
      </c>
    </row>
    <row r="112" spans="1:4" x14ac:dyDescent="0.25">
      <c r="A112" s="247" t="s">
        <v>1460</v>
      </c>
      <c r="B112" s="247" t="s">
        <v>1473</v>
      </c>
      <c r="C112" s="304">
        <f>'Budget &amp; Costs'!D70</f>
        <v>0</v>
      </c>
      <c r="D112" t="s">
        <v>1474</v>
      </c>
    </row>
    <row r="113" spans="1:4" x14ac:dyDescent="0.25">
      <c r="A113" s="243" t="s">
        <v>199</v>
      </c>
      <c r="B113" s="243"/>
      <c r="C113" s="305">
        <f>'Project Details'!C226</f>
        <v>0</v>
      </c>
      <c r="D113" t="s">
        <v>219</v>
      </c>
    </row>
    <row r="114" spans="1:4" x14ac:dyDescent="0.25">
      <c r="A114" s="243" t="s">
        <v>200</v>
      </c>
      <c r="B114" s="243"/>
      <c r="C114" s="305">
        <f>'Project Details'!C227</f>
        <v>0</v>
      </c>
      <c r="D114" t="s">
        <v>219</v>
      </c>
    </row>
    <row r="115" spans="1:4" x14ac:dyDescent="0.25">
      <c r="A115" s="243" t="s">
        <v>890</v>
      </c>
      <c r="B115" s="243"/>
      <c r="C115" s="305">
        <f>'Project Details'!C228</f>
        <v>0</v>
      </c>
      <c r="D115" t="s">
        <v>219</v>
      </c>
    </row>
    <row r="116" spans="1:4" x14ac:dyDescent="0.25">
      <c r="A116" s="243" t="s">
        <v>198</v>
      </c>
      <c r="B116" s="243"/>
      <c r="C116" s="305">
        <f>'Project Details'!C229</f>
        <v>0</v>
      </c>
      <c r="D116" t="s">
        <v>219</v>
      </c>
    </row>
    <row r="117" spans="1:4" x14ac:dyDescent="0.25">
      <c r="A117" s="243" t="s">
        <v>201</v>
      </c>
      <c r="B117" s="243"/>
      <c r="C117" s="305">
        <f>'Project Details'!C230</f>
        <v>0</v>
      </c>
      <c r="D117" t="s">
        <v>219</v>
      </c>
    </row>
    <row r="118" spans="1:4" x14ac:dyDescent="0.25">
      <c r="A118" s="243" t="s">
        <v>202</v>
      </c>
      <c r="B118" s="243"/>
      <c r="C118" s="305">
        <f>'Project Details'!C231</f>
        <v>0</v>
      </c>
      <c r="D118" t="s">
        <v>219</v>
      </c>
    </row>
    <row r="119" spans="1:4" x14ac:dyDescent="0.25">
      <c r="A119" s="243" t="s">
        <v>203</v>
      </c>
      <c r="B119" s="243"/>
      <c r="C119" s="305">
        <f>'Project Details'!C232</f>
        <v>0</v>
      </c>
      <c r="D119" t="s">
        <v>219</v>
      </c>
    </row>
    <row r="120" spans="1:4" x14ac:dyDescent="0.25">
      <c r="A120" s="243" t="s">
        <v>204</v>
      </c>
      <c r="B120" s="243"/>
      <c r="C120" s="305">
        <f>'Project Details'!C233</f>
        <v>0</v>
      </c>
      <c r="D120" t="s">
        <v>219</v>
      </c>
    </row>
    <row r="121" spans="1:4" x14ac:dyDescent="0.25">
      <c r="A121" s="243" t="s">
        <v>1274</v>
      </c>
      <c r="B121" s="243"/>
      <c r="C121" s="305">
        <f>'Project Details'!C234</f>
        <v>0</v>
      </c>
      <c r="D121" t="s">
        <v>219</v>
      </c>
    </row>
    <row r="122" spans="1:4" x14ac:dyDescent="0.25">
      <c r="A122" s="243" t="s">
        <v>205</v>
      </c>
      <c r="B122" s="243"/>
      <c r="C122" s="305">
        <f>'Project Details'!C235</f>
        <v>0</v>
      </c>
      <c r="D122" t="s">
        <v>219</v>
      </c>
    </row>
    <row r="123" spans="1:4" x14ac:dyDescent="0.25">
      <c r="A123" s="243" t="s">
        <v>206</v>
      </c>
      <c r="B123" s="243"/>
      <c r="C123" s="305">
        <f>'Project Details'!C236</f>
        <v>0</v>
      </c>
      <c r="D123" t="s">
        <v>219</v>
      </c>
    </row>
    <row r="124" spans="1:4" x14ac:dyDescent="0.25">
      <c r="A124" s="243" t="s">
        <v>207</v>
      </c>
      <c r="B124" s="243"/>
      <c r="C124" s="305">
        <f>'Project Details'!C237</f>
        <v>0</v>
      </c>
      <c r="D124" t="s">
        <v>219</v>
      </c>
    </row>
    <row r="125" spans="1:4" x14ac:dyDescent="0.25">
      <c r="A125" s="243" t="s">
        <v>208</v>
      </c>
      <c r="B125" s="243"/>
      <c r="C125" s="305">
        <f>'Project Details'!C238</f>
        <v>0</v>
      </c>
      <c r="D125" t="s">
        <v>219</v>
      </c>
    </row>
    <row r="126" spans="1:4" x14ac:dyDescent="0.25">
      <c r="A126" s="243" t="s">
        <v>209</v>
      </c>
      <c r="B126" s="243"/>
      <c r="C126" s="305">
        <f>'Project Details'!C239</f>
        <v>0</v>
      </c>
      <c r="D126" t="s">
        <v>219</v>
      </c>
    </row>
    <row r="127" spans="1:4" x14ac:dyDescent="0.25">
      <c r="A127" s="243" t="s">
        <v>210</v>
      </c>
      <c r="B127" s="243"/>
      <c r="C127" s="305">
        <f>'Project Details'!C240</f>
        <v>0</v>
      </c>
      <c r="D127" t="s">
        <v>219</v>
      </c>
    </row>
    <row r="128" spans="1:4" x14ac:dyDescent="0.25">
      <c r="A128" s="243" t="s">
        <v>211</v>
      </c>
      <c r="B128" s="243"/>
      <c r="C128" s="305">
        <f>'Project Details'!C241</f>
        <v>0</v>
      </c>
      <c r="D128" t="s">
        <v>219</v>
      </c>
    </row>
    <row r="129" spans="1:4" x14ac:dyDescent="0.25">
      <c r="A129" s="243" t="s">
        <v>212</v>
      </c>
      <c r="B129" s="243"/>
      <c r="C129" s="305">
        <f>'Project Details'!C242</f>
        <v>0</v>
      </c>
      <c r="D129" t="s">
        <v>219</v>
      </c>
    </row>
    <row r="130" spans="1:4" x14ac:dyDescent="0.25">
      <c r="A130" s="243" t="s">
        <v>213</v>
      </c>
      <c r="B130" s="243"/>
      <c r="C130" s="305" t="str">
        <f>'Project Details'!C243</f>
        <v>Input needed</v>
      </c>
      <c r="D130" t="s">
        <v>219</v>
      </c>
    </row>
    <row r="131" spans="1:4" x14ac:dyDescent="0.25">
      <c r="A131" s="243" t="s">
        <v>214</v>
      </c>
      <c r="B131" s="243"/>
      <c r="C131" s="305">
        <f>'Project Details'!C244</f>
        <v>0</v>
      </c>
      <c r="D131" t="s">
        <v>219</v>
      </c>
    </row>
    <row r="132" spans="1:4" x14ac:dyDescent="0.25">
      <c r="A132" s="243" t="s">
        <v>1056</v>
      </c>
      <c r="B132" s="243"/>
      <c r="C132" s="305" t="str">
        <f>'Project Details'!C245</f>
        <v>[Complete Budget Tab]</v>
      </c>
      <c r="D132" t="s">
        <v>219</v>
      </c>
    </row>
    <row r="133" spans="1:4" x14ac:dyDescent="0.25">
      <c r="A133" s="499" t="s">
        <v>1060</v>
      </c>
      <c r="B133" s="499"/>
      <c r="C133" s="500">
        <f>'Project Details'!C200</f>
        <v>0</v>
      </c>
      <c r="D133" t="s">
        <v>1523</v>
      </c>
    </row>
    <row r="134" spans="1:4" x14ac:dyDescent="0.25">
      <c r="A134" s="499" t="s">
        <v>1061</v>
      </c>
      <c r="B134" s="499"/>
      <c r="C134" s="500">
        <f>'Project Details'!D200</f>
        <v>0</v>
      </c>
      <c r="D134" t="s">
        <v>1523</v>
      </c>
    </row>
    <row r="135" spans="1:4" x14ac:dyDescent="0.25">
      <c r="A135" s="499" t="s">
        <v>1062</v>
      </c>
      <c r="B135" s="499"/>
      <c r="C135" s="500">
        <f>'Project Details'!E200</f>
        <v>0</v>
      </c>
      <c r="D135" t="s">
        <v>1523</v>
      </c>
    </row>
    <row r="136" spans="1:4" x14ac:dyDescent="0.25">
      <c r="A136" s="499" t="s">
        <v>1063</v>
      </c>
      <c r="B136" s="499"/>
      <c r="C136" s="500">
        <f>'Project Details'!F200</f>
        <v>0</v>
      </c>
      <c r="D136" t="s">
        <v>1523</v>
      </c>
    </row>
    <row r="137" spans="1:4" x14ac:dyDescent="0.25">
      <c r="A137" s="499" t="s">
        <v>1080</v>
      </c>
      <c r="B137" s="499"/>
      <c r="C137" s="500">
        <f>'Project Details'!G200</f>
        <v>0</v>
      </c>
      <c r="D137" t="s">
        <v>1523</v>
      </c>
    </row>
    <row r="138" spans="1:4" x14ac:dyDescent="0.25">
      <c r="A138" s="499" t="s">
        <v>1081</v>
      </c>
      <c r="B138" s="499"/>
      <c r="C138" s="500">
        <f>'Project Details'!H200</f>
        <v>0</v>
      </c>
      <c r="D138" t="s">
        <v>1523</v>
      </c>
    </row>
    <row r="139" spans="1:4" x14ac:dyDescent="0.25">
      <c r="A139" s="499" t="s">
        <v>1064</v>
      </c>
      <c r="B139" s="499"/>
      <c r="C139" s="500">
        <f>'Project Details'!C201</f>
        <v>0</v>
      </c>
      <c r="D139" t="s">
        <v>1523</v>
      </c>
    </row>
    <row r="140" spans="1:4" x14ac:dyDescent="0.25">
      <c r="A140" s="499" t="s">
        <v>1065</v>
      </c>
      <c r="B140" s="499"/>
      <c r="C140" s="500">
        <f>'Project Details'!D201</f>
        <v>0</v>
      </c>
      <c r="D140" t="s">
        <v>1523</v>
      </c>
    </row>
    <row r="141" spans="1:4" x14ac:dyDescent="0.25">
      <c r="A141" s="499" t="s">
        <v>1066</v>
      </c>
      <c r="B141" s="499"/>
      <c r="C141" s="500">
        <f>'Project Details'!E201</f>
        <v>0</v>
      </c>
      <c r="D141" t="s">
        <v>1523</v>
      </c>
    </row>
    <row r="142" spans="1:4" x14ac:dyDescent="0.25">
      <c r="A142" s="499" t="s">
        <v>1067</v>
      </c>
      <c r="B142" s="499"/>
      <c r="C142" s="500">
        <f>'Project Details'!F201</f>
        <v>0</v>
      </c>
      <c r="D142" t="s">
        <v>1523</v>
      </c>
    </row>
    <row r="143" spans="1:4" x14ac:dyDescent="0.25">
      <c r="A143" s="499" t="s">
        <v>1082</v>
      </c>
      <c r="B143" s="499"/>
      <c r="C143" s="500">
        <f>'Project Details'!G201</f>
        <v>0</v>
      </c>
      <c r="D143" t="s">
        <v>1523</v>
      </c>
    </row>
    <row r="144" spans="1:4" x14ac:dyDescent="0.25">
      <c r="A144" s="499" t="s">
        <v>1083</v>
      </c>
      <c r="B144" s="499"/>
      <c r="C144" s="500">
        <f>'Project Details'!H201</f>
        <v>0</v>
      </c>
      <c r="D144" t="s">
        <v>1523</v>
      </c>
    </row>
    <row r="145" spans="1:4" x14ac:dyDescent="0.25">
      <c r="A145" s="499" t="s">
        <v>1068</v>
      </c>
      <c r="B145" s="499"/>
      <c r="C145" s="500">
        <f>'Project Details'!C202</f>
        <v>0</v>
      </c>
      <c r="D145" t="s">
        <v>1523</v>
      </c>
    </row>
    <row r="146" spans="1:4" x14ac:dyDescent="0.25">
      <c r="A146" s="499" t="s">
        <v>1069</v>
      </c>
      <c r="B146" s="499"/>
      <c r="C146" s="500">
        <f>'Project Details'!D202</f>
        <v>0</v>
      </c>
      <c r="D146" t="s">
        <v>1523</v>
      </c>
    </row>
    <row r="147" spans="1:4" x14ac:dyDescent="0.25">
      <c r="A147" s="499" t="s">
        <v>1070</v>
      </c>
      <c r="B147" s="499"/>
      <c r="C147" s="500">
        <f>'Project Details'!E202</f>
        <v>0</v>
      </c>
      <c r="D147" t="s">
        <v>1523</v>
      </c>
    </row>
    <row r="148" spans="1:4" x14ac:dyDescent="0.25">
      <c r="A148" s="499" t="s">
        <v>1071</v>
      </c>
      <c r="B148" s="499"/>
      <c r="C148" s="500">
        <f>'Project Details'!F202</f>
        <v>0</v>
      </c>
      <c r="D148" t="s">
        <v>1523</v>
      </c>
    </row>
    <row r="149" spans="1:4" x14ac:dyDescent="0.25">
      <c r="A149" s="499" t="s">
        <v>1084</v>
      </c>
      <c r="B149" s="499"/>
      <c r="C149" s="500">
        <f>'Project Details'!G202</f>
        <v>0</v>
      </c>
      <c r="D149" t="s">
        <v>1523</v>
      </c>
    </row>
    <row r="150" spans="1:4" x14ac:dyDescent="0.25">
      <c r="A150" s="499" t="s">
        <v>1085</v>
      </c>
      <c r="B150" s="499"/>
      <c r="C150" s="500">
        <f>'Project Details'!H202</f>
        <v>0</v>
      </c>
      <c r="D150" t="s">
        <v>1523</v>
      </c>
    </row>
    <row r="151" spans="1:4" x14ac:dyDescent="0.25">
      <c r="A151" s="499" t="s">
        <v>1072</v>
      </c>
      <c r="B151" s="499"/>
      <c r="C151" s="500">
        <f>'Project Details'!C203</f>
        <v>0</v>
      </c>
      <c r="D151" t="s">
        <v>1523</v>
      </c>
    </row>
    <row r="152" spans="1:4" x14ac:dyDescent="0.25">
      <c r="A152" s="499" t="s">
        <v>1073</v>
      </c>
      <c r="B152" s="499"/>
      <c r="C152" s="500">
        <f>'Project Details'!D203</f>
        <v>0</v>
      </c>
      <c r="D152" t="s">
        <v>1523</v>
      </c>
    </row>
    <row r="153" spans="1:4" x14ac:dyDescent="0.25">
      <c r="A153" s="499" t="s">
        <v>1074</v>
      </c>
      <c r="B153" s="499"/>
      <c r="C153" s="500">
        <f>'Project Details'!E203</f>
        <v>0</v>
      </c>
      <c r="D153" t="s">
        <v>1523</v>
      </c>
    </row>
    <row r="154" spans="1:4" x14ac:dyDescent="0.25">
      <c r="A154" s="499" t="s">
        <v>1075</v>
      </c>
      <c r="B154" s="499"/>
      <c r="C154" s="500">
        <f>'Project Details'!F203</f>
        <v>0</v>
      </c>
      <c r="D154" t="s">
        <v>1523</v>
      </c>
    </row>
    <row r="155" spans="1:4" x14ac:dyDescent="0.25">
      <c r="A155" s="499" t="s">
        <v>1086</v>
      </c>
      <c r="B155" s="499"/>
      <c r="C155" s="500">
        <f>'Project Details'!G203</f>
        <v>0</v>
      </c>
      <c r="D155" t="s">
        <v>1523</v>
      </c>
    </row>
    <row r="156" spans="1:4" x14ac:dyDescent="0.25">
      <c r="A156" s="499" t="s">
        <v>1087</v>
      </c>
      <c r="B156" s="499"/>
      <c r="C156" s="500">
        <f>'Project Details'!H203</f>
        <v>0</v>
      </c>
      <c r="D156" t="s">
        <v>1523</v>
      </c>
    </row>
    <row r="157" spans="1:4" x14ac:dyDescent="0.25">
      <c r="A157" s="499" t="s">
        <v>1076</v>
      </c>
      <c r="B157" s="499"/>
      <c r="C157" s="500">
        <f>'Project Details'!C204</f>
        <v>0</v>
      </c>
      <c r="D157" t="s">
        <v>1523</v>
      </c>
    </row>
    <row r="158" spans="1:4" x14ac:dyDescent="0.25">
      <c r="A158" s="499" t="s">
        <v>1077</v>
      </c>
      <c r="B158" s="499"/>
      <c r="C158" s="500">
        <f>'Project Details'!D204</f>
        <v>0</v>
      </c>
      <c r="D158" t="s">
        <v>1523</v>
      </c>
    </row>
    <row r="159" spans="1:4" x14ac:dyDescent="0.25">
      <c r="A159" s="499" t="s">
        <v>1078</v>
      </c>
      <c r="B159" s="499"/>
      <c r="C159" s="500">
        <f>'Project Details'!E204</f>
        <v>0</v>
      </c>
      <c r="D159" t="s">
        <v>1523</v>
      </c>
    </row>
    <row r="160" spans="1:4" x14ac:dyDescent="0.25">
      <c r="A160" s="499" t="s">
        <v>1079</v>
      </c>
      <c r="B160" s="499"/>
      <c r="C160" s="500">
        <f>'Project Details'!F204</f>
        <v>0</v>
      </c>
      <c r="D160" t="s">
        <v>1523</v>
      </c>
    </row>
    <row r="161" spans="1:4" x14ac:dyDescent="0.25">
      <c r="A161" s="499" t="s">
        <v>1088</v>
      </c>
      <c r="B161" s="499"/>
      <c r="C161" s="500">
        <f>'Project Details'!G204</f>
        <v>0</v>
      </c>
      <c r="D161" t="s">
        <v>1523</v>
      </c>
    </row>
    <row r="162" spans="1:4" x14ac:dyDescent="0.25">
      <c r="A162" s="499" t="s">
        <v>1089</v>
      </c>
      <c r="B162" s="499"/>
      <c r="C162" s="500">
        <f>'Project Details'!H204</f>
        <v>0</v>
      </c>
      <c r="D162" t="s">
        <v>1523</v>
      </c>
    </row>
    <row r="163" spans="1:4" x14ac:dyDescent="0.25">
      <c r="A163" s="499" t="s">
        <v>1093</v>
      </c>
      <c r="B163" s="499"/>
      <c r="C163" s="500" t="str">
        <f>'Project Details'!P173</f>
        <v>Enter Floors</v>
      </c>
      <c r="D163" t="s">
        <v>1523</v>
      </c>
    </row>
    <row r="164" spans="1:4" x14ac:dyDescent="0.25">
      <c r="A164" s="244" t="s">
        <v>951</v>
      </c>
      <c r="B164" s="244" t="s">
        <v>1323</v>
      </c>
      <c r="C164" s="306">
        <f>'Development Team'!D36</f>
        <v>0</v>
      </c>
      <c r="D164" t="s">
        <v>1129</v>
      </c>
    </row>
    <row r="165" spans="1:4" x14ac:dyDescent="0.25">
      <c r="A165" s="244" t="s">
        <v>952</v>
      </c>
      <c r="B165" s="244"/>
      <c r="C165" s="306">
        <f>'Development Team'!D37</f>
        <v>0</v>
      </c>
      <c r="D165" t="s">
        <v>1129</v>
      </c>
    </row>
    <row r="166" spans="1:4" x14ac:dyDescent="0.25">
      <c r="A166" s="244" t="s">
        <v>953</v>
      </c>
      <c r="B166" s="244"/>
      <c r="C166" s="306">
        <f>'Development Team'!D38</f>
        <v>0</v>
      </c>
      <c r="D166" t="s">
        <v>1129</v>
      </c>
    </row>
    <row r="167" spans="1:4" x14ac:dyDescent="0.25">
      <c r="A167" s="244" t="s">
        <v>954</v>
      </c>
      <c r="B167" s="244"/>
      <c r="C167" s="306">
        <f>'Development Team'!D39</f>
        <v>0</v>
      </c>
      <c r="D167" t="s">
        <v>1129</v>
      </c>
    </row>
    <row r="168" spans="1:4" x14ac:dyDescent="0.25">
      <c r="A168" s="244" t="s">
        <v>955</v>
      </c>
      <c r="B168" s="244"/>
      <c r="C168" s="306">
        <f>'Development Team'!D40</f>
        <v>0</v>
      </c>
      <c r="D168" t="s">
        <v>1129</v>
      </c>
    </row>
    <row r="169" spans="1:4" x14ac:dyDescent="0.25">
      <c r="A169" s="244" t="s">
        <v>956</v>
      </c>
      <c r="B169" s="244"/>
      <c r="C169" s="306">
        <f>'Development Team'!D41</f>
        <v>0</v>
      </c>
      <c r="D169" t="s">
        <v>1129</v>
      </c>
    </row>
    <row r="170" spans="1:4" x14ac:dyDescent="0.25">
      <c r="A170" s="244" t="s">
        <v>957</v>
      </c>
      <c r="B170" s="244"/>
      <c r="C170" s="306">
        <f>'Development Team'!D42</f>
        <v>0</v>
      </c>
      <c r="D170" t="s">
        <v>1129</v>
      </c>
    </row>
    <row r="171" spans="1:4" x14ac:dyDescent="0.25">
      <c r="A171" s="244" t="s">
        <v>1120</v>
      </c>
      <c r="B171" s="244"/>
      <c r="C171" s="306">
        <f>'Development Team'!D44</f>
        <v>0</v>
      </c>
      <c r="D171" t="s">
        <v>1129</v>
      </c>
    </row>
    <row r="172" spans="1:4" x14ac:dyDescent="0.25">
      <c r="A172" s="244" t="s">
        <v>587</v>
      </c>
      <c r="B172" s="244"/>
      <c r="C172" s="306">
        <f>'Development Team'!D45</f>
        <v>0</v>
      </c>
      <c r="D172" t="s">
        <v>1129</v>
      </c>
    </row>
    <row r="173" spans="1:4" x14ac:dyDescent="0.25">
      <c r="A173" s="244" t="s">
        <v>958</v>
      </c>
      <c r="B173" s="244" t="s">
        <v>1335</v>
      </c>
      <c r="C173" s="306" t="str">
        <f>IF('Development Team'!G149="Yes","Yes",IF('Development Team'!G150="Yes","Yes","No"))</f>
        <v>No</v>
      </c>
      <c r="D173" t="s">
        <v>1129</v>
      </c>
    </row>
    <row r="174" spans="1:4" x14ac:dyDescent="0.25">
      <c r="A174" s="244" t="s">
        <v>839</v>
      </c>
      <c r="B174" s="244" t="s">
        <v>1336</v>
      </c>
      <c r="C174" s="306" t="str">
        <f>IF('Development Team'!G150="Yes","Yes",IF('Development Team'!G170="Yes","Yes","No"))</f>
        <v>No</v>
      </c>
      <c r="D174" t="s">
        <v>1129</v>
      </c>
    </row>
    <row r="175" spans="1:4" x14ac:dyDescent="0.25">
      <c r="A175" s="244" t="s">
        <v>1121</v>
      </c>
      <c r="B175" s="244"/>
      <c r="C175" s="306">
        <f>'Development Team'!G50</f>
        <v>0</v>
      </c>
      <c r="D175" t="s">
        <v>1129</v>
      </c>
    </row>
    <row r="176" spans="1:4" x14ac:dyDescent="0.25">
      <c r="A176" s="244" t="s">
        <v>1122</v>
      </c>
      <c r="B176" s="244"/>
      <c r="C176" s="306">
        <f>'Development Team'!G51</f>
        <v>0</v>
      </c>
      <c r="D176" t="s">
        <v>1129</v>
      </c>
    </row>
    <row r="177" spans="1:4" x14ac:dyDescent="0.25">
      <c r="A177" s="244" t="s">
        <v>959</v>
      </c>
      <c r="B177" s="244"/>
      <c r="C177" s="306">
        <f>'Development Team'!G54</f>
        <v>0</v>
      </c>
      <c r="D177" t="s">
        <v>1129</v>
      </c>
    </row>
    <row r="178" spans="1:4" x14ac:dyDescent="0.25">
      <c r="A178" s="244" t="s">
        <v>960</v>
      </c>
      <c r="B178" s="244"/>
      <c r="C178" s="306">
        <f>'Development Team'!G55</f>
        <v>0</v>
      </c>
      <c r="D178" t="s">
        <v>1129</v>
      </c>
    </row>
    <row r="179" spans="1:4" x14ac:dyDescent="0.25">
      <c r="A179" s="244" t="s">
        <v>1123</v>
      </c>
      <c r="B179" s="244"/>
      <c r="C179" s="306">
        <f>'Development Team'!G38</f>
        <v>0</v>
      </c>
      <c r="D179" t="s">
        <v>1129</v>
      </c>
    </row>
    <row r="180" spans="1:4" x14ac:dyDescent="0.25">
      <c r="A180" s="244" t="s">
        <v>1124</v>
      </c>
      <c r="B180" s="244"/>
      <c r="C180" s="306">
        <f>'Development Team'!G39</f>
        <v>0</v>
      </c>
      <c r="D180" t="s">
        <v>1129</v>
      </c>
    </row>
    <row r="181" spans="1:4" x14ac:dyDescent="0.25">
      <c r="A181" s="244" t="s">
        <v>961</v>
      </c>
      <c r="B181" s="244"/>
      <c r="C181" s="306">
        <f>'Development Team'!G42</f>
        <v>0</v>
      </c>
      <c r="D181" t="s">
        <v>1129</v>
      </c>
    </row>
    <row r="182" spans="1:4" x14ac:dyDescent="0.25">
      <c r="A182" s="244" t="s">
        <v>962</v>
      </c>
      <c r="B182" s="244"/>
      <c r="C182" s="306">
        <f>'Development Team'!G43</f>
        <v>0</v>
      </c>
      <c r="D182" t="s">
        <v>1129</v>
      </c>
    </row>
    <row r="183" spans="1:4" x14ac:dyDescent="0.25">
      <c r="A183" s="244" t="s">
        <v>1291</v>
      </c>
      <c r="B183" s="244"/>
      <c r="C183" s="306">
        <f>'Development Team'!D50</f>
        <v>0</v>
      </c>
      <c r="D183" t="s">
        <v>1129</v>
      </c>
    </row>
    <row r="184" spans="1:4" x14ac:dyDescent="0.25">
      <c r="A184" s="244" t="s">
        <v>1125</v>
      </c>
      <c r="B184" s="244"/>
      <c r="C184" s="306">
        <f>'Development Team'!D51</f>
        <v>0</v>
      </c>
      <c r="D184" t="s">
        <v>1129</v>
      </c>
    </row>
    <row r="185" spans="1:4" x14ac:dyDescent="0.25">
      <c r="A185" s="244" t="s">
        <v>963</v>
      </c>
      <c r="B185" s="244"/>
      <c r="C185" s="306">
        <f>'Development Team'!D54</f>
        <v>0</v>
      </c>
      <c r="D185" t="s">
        <v>1129</v>
      </c>
    </row>
    <row r="186" spans="1:4" x14ac:dyDescent="0.25">
      <c r="A186" s="244" t="s">
        <v>964</v>
      </c>
      <c r="B186" s="244"/>
      <c r="C186" s="306">
        <f>'Development Team'!D55</f>
        <v>0</v>
      </c>
      <c r="D186" t="s">
        <v>1129</v>
      </c>
    </row>
    <row r="187" spans="1:4" x14ac:dyDescent="0.25">
      <c r="A187" s="244" t="s">
        <v>809</v>
      </c>
      <c r="B187" s="244" t="s">
        <v>1329</v>
      </c>
      <c r="C187" s="306" t="e">
        <f>'Development Team'!#REF!</f>
        <v>#REF!</v>
      </c>
      <c r="D187" t="s">
        <v>1129</v>
      </c>
    </row>
    <row r="188" spans="1:4" x14ac:dyDescent="0.25">
      <c r="A188" s="244" t="s">
        <v>1292</v>
      </c>
      <c r="B188" s="244"/>
      <c r="C188" s="306" t="e">
        <f>CONCATENATE('Development Team'!#REF!," ",'Development Team'!#REF!)</f>
        <v>#REF!</v>
      </c>
      <c r="D188" t="s">
        <v>1129</v>
      </c>
    </row>
    <row r="189" spans="1:4" x14ac:dyDescent="0.25">
      <c r="A189" s="244" t="s">
        <v>1293</v>
      </c>
      <c r="B189" s="244"/>
      <c r="C189" s="306" t="e">
        <f>'Development Team'!#REF!</f>
        <v>#REF!</v>
      </c>
      <c r="D189" t="s">
        <v>1129</v>
      </c>
    </row>
    <row r="190" spans="1:4" x14ac:dyDescent="0.25">
      <c r="A190" s="244" t="s">
        <v>1294</v>
      </c>
      <c r="B190" s="244"/>
      <c r="C190" s="306" t="e">
        <f>'Development Team'!#REF!</f>
        <v>#REF!</v>
      </c>
      <c r="D190" t="s">
        <v>1129</v>
      </c>
    </row>
    <row r="191" spans="1:4" x14ac:dyDescent="0.25">
      <c r="A191" s="244" t="s">
        <v>1295</v>
      </c>
      <c r="B191" s="244" t="s">
        <v>1330</v>
      </c>
      <c r="C191" s="306" t="e">
        <f>'Development Team'!#REF!</f>
        <v>#REF!</v>
      </c>
      <c r="D191" t="s">
        <v>1129</v>
      </c>
    </row>
    <row r="192" spans="1:4" x14ac:dyDescent="0.25">
      <c r="A192" s="244" t="s">
        <v>1132</v>
      </c>
      <c r="B192" s="244"/>
      <c r="C192" s="307" t="e">
        <f>'Development Team'!#REF!</f>
        <v>#REF!</v>
      </c>
      <c r="D192" t="s">
        <v>1129</v>
      </c>
    </row>
    <row r="193" spans="1:4" x14ac:dyDescent="0.25">
      <c r="A193" s="244" t="s">
        <v>1296</v>
      </c>
      <c r="B193" s="244"/>
      <c r="C193" s="306">
        <f>'Development Team'!D58</f>
        <v>0</v>
      </c>
      <c r="D193" t="s">
        <v>1129</v>
      </c>
    </row>
    <row r="194" spans="1:4" x14ac:dyDescent="0.25">
      <c r="A194" s="244" t="s">
        <v>1133</v>
      </c>
      <c r="B194" s="244"/>
      <c r="C194" s="307">
        <f>'Development Team'!D68</f>
        <v>0</v>
      </c>
      <c r="D194" t="s">
        <v>1129</v>
      </c>
    </row>
    <row r="195" spans="1:4" x14ac:dyDescent="0.25">
      <c r="A195" s="244" t="s">
        <v>1134</v>
      </c>
      <c r="B195" s="244"/>
      <c r="C195" s="307">
        <f>'Development Team'!D71</f>
        <v>0</v>
      </c>
      <c r="D195" t="s">
        <v>1129</v>
      </c>
    </row>
    <row r="196" spans="1:4" x14ac:dyDescent="0.25">
      <c r="A196" s="244" t="s">
        <v>1135</v>
      </c>
      <c r="B196" s="244"/>
      <c r="C196" s="307">
        <f>'Development Team'!D81</f>
        <v>0</v>
      </c>
      <c r="D196" t="s">
        <v>1129</v>
      </c>
    </row>
    <row r="197" spans="1:4" x14ac:dyDescent="0.25">
      <c r="A197" s="244" t="s">
        <v>1136</v>
      </c>
      <c r="B197" s="244"/>
      <c r="C197" s="307">
        <f>'Development Team'!D84</f>
        <v>0</v>
      </c>
      <c r="D197" t="s">
        <v>1129</v>
      </c>
    </row>
    <row r="198" spans="1:4" x14ac:dyDescent="0.25">
      <c r="A198" s="244" t="s">
        <v>1137</v>
      </c>
      <c r="B198" s="244"/>
      <c r="C198" s="307">
        <f>'Development Team'!D94</f>
        <v>0</v>
      </c>
      <c r="D198" t="s">
        <v>1129</v>
      </c>
    </row>
    <row r="199" spans="1:4" x14ac:dyDescent="0.25">
      <c r="A199" s="244" t="s">
        <v>707</v>
      </c>
      <c r="B199" s="244" t="s">
        <v>1327</v>
      </c>
      <c r="C199" s="306">
        <f>'Development Team'!D6</f>
        <v>0</v>
      </c>
      <c r="D199" t="s">
        <v>1129</v>
      </c>
    </row>
    <row r="200" spans="1:4" x14ac:dyDescent="0.25">
      <c r="A200" s="244" t="s">
        <v>708</v>
      </c>
      <c r="B200" s="244"/>
      <c r="C200" s="306">
        <f>'Development Team'!J6</f>
        <v>0</v>
      </c>
      <c r="D200" t="s">
        <v>1129</v>
      </c>
    </row>
    <row r="201" spans="1:4" x14ac:dyDescent="0.25">
      <c r="A201" s="244" t="s">
        <v>808</v>
      </c>
      <c r="B201" s="244" t="s">
        <v>1325</v>
      </c>
      <c r="C201" s="306">
        <f>'Development Team'!D21</f>
        <v>0</v>
      </c>
      <c r="D201" t="s">
        <v>1129</v>
      </c>
    </row>
    <row r="202" spans="1:4" x14ac:dyDescent="0.25">
      <c r="A202" s="244" t="s">
        <v>1113</v>
      </c>
      <c r="B202" s="244"/>
      <c r="C202" s="244">
        <f>'Development Team'!G29</f>
        <v>0</v>
      </c>
      <c r="D202" t="s">
        <v>1129</v>
      </c>
    </row>
    <row r="203" spans="1:4" x14ac:dyDescent="0.25">
      <c r="A203" s="244" t="s">
        <v>810</v>
      </c>
      <c r="B203" s="244"/>
      <c r="C203" s="306">
        <f>'Development Team'!D193</f>
        <v>0</v>
      </c>
      <c r="D203" t="s">
        <v>1129</v>
      </c>
    </row>
    <row r="204" spans="1:4" x14ac:dyDescent="0.25">
      <c r="A204" s="244" t="s">
        <v>148</v>
      </c>
      <c r="B204" s="244" t="s">
        <v>1326</v>
      </c>
      <c r="C204" s="306">
        <f>'Development Team'!D17</f>
        <v>0</v>
      </c>
      <c r="D204" t="s">
        <v>1129</v>
      </c>
    </row>
    <row r="205" spans="1:4" x14ac:dyDescent="0.25">
      <c r="A205" s="244" t="s">
        <v>735</v>
      </c>
      <c r="B205" s="244" t="s">
        <v>1324</v>
      </c>
      <c r="C205" s="306">
        <f>'Development Team'!D173</f>
        <v>0</v>
      </c>
      <c r="D205" t="s">
        <v>1129</v>
      </c>
    </row>
    <row r="206" spans="1:4" x14ac:dyDescent="0.25">
      <c r="A206" s="244" t="s">
        <v>1502</v>
      </c>
      <c r="B206" s="244"/>
      <c r="C206" s="306">
        <f>'Development Team'!D183</f>
        <v>0</v>
      </c>
      <c r="D206" t="s">
        <v>1129</v>
      </c>
    </row>
    <row r="207" spans="1:4" x14ac:dyDescent="0.25">
      <c r="A207" s="244" t="s">
        <v>601</v>
      </c>
      <c r="B207" s="244" t="s">
        <v>1328</v>
      </c>
      <c r="C207" s="306">
        <f>'Development Team'!J37</f>
        <v>0</v>
      </c>
      <c r="D207" t="s">
        <v>1129</v>
      </c>
    </row>
    <row r="208" spans="1:4" x14ac:dyDescent="0.25">
      <c r="A208" s="244" t="s">
        <v>1297</v>
      </c>
      <c r="B208" s="244"/>
      <c r="C208" s="306">
        <f>'Development Team'!J38</f>
        <v>0</v>
      </c>
      <c r="D208" t="s">
        <v>1129</v>
      </c>
    </row>
    <row r="209" spans="1:4" x14ac:dyDescent="0.25">
      <c r="A209" s="244" t="s">
        <v>1298</v>
      </c>
      <c r="B209" s="244"/>
      <c r="C209" s="306">
        <f>'Development Team'!J39</f>
        <v>0</v>
      </c>
      <c r="D209" t="s">
        <v>1129</v>
      </c>
    </row>
    <row r="210" spans="1:4" x14ac:dyDescent="0.25">
      <c r="A210" s="244" t="s">
        <v>1300</v>
      </c>
      <c r="B210" s="244"/>
      <c r="C210" s="306">
        <f>'Development Team'!J41</f>
        <v>0</v>
      </c>
      <c r="D210" t="s">
        <v>1129</v>
      </c>
    </row>
    <row r="211" spans="1:4" x14ac:dyDescent="0.25">
      <c r="A211" s="244" t="s">
        <v>1299</v>
      </c>
      <c r="B211" s="244"/>
      <c r="C211" s="306">
        <f>'Development Team'!J42</f>
        <v>0</v>
      </c>
      <c r="D211" t="s">
        <v>1129</v>
      </c>
    </row>
    <row r="212" spans="1:4" x14ac:dyDescent="0.25">
      <c r="A212" s="244" t="s">
        <v>1503</v>
      </c>
      <c r="B212" s="244"/>
      <c r="C212" s="306">
        <f>'Development Team'!J44</f>
        <v>0</v>
      </c>
      <c r="D212" t="s">
        <v>1129</v>
      </c>
    </row>
    <row r="213" spans="1:4" x14ac:dyDescent="0.25">
      <c r="A213" s="244" t="s">
        <v>1504</v>
      </c>
      <c r="B213" s="244"/>
      <c r="C213" s="306">
        <f>'Development Team'!M46</f>
        <v>0</v>
      </c>
      <c r="D213" t="s">
        <v>1129</v>
      </c>
    </row>
    <row r="214" spans="1:4" x14ac:dyDescent="0.25">
      <c r="A214" s="244" t="s">
        <v>1505</v>
      </c>
      <c r="B214" s="244"/>
      <c r="C214" s="306">
        <f>'Development Team'!M47</f>
        <v>0</v>
      </c>
      <c r="D214" t="s">
        <v>1129</v>
      </c>
    </row>
    <row r="215" spans="1:4" x14ac:dyDescent="0.25">
      <c r="A215" s="232" t="s">
        <v>358</v>
      </c>
      <c r="B215" s="245"/>
      <c r="C215" s="308">
        <f>'Budget &amp; Costs'!Q332</f>
        <v>0</v>
      </c>
      <c r="D215" t="s">
        <v>1128</v>
      </c>
    </row>
    <row r="216" spans="1:4" x14ac:dyDescent="0.25">
      <c r="A216" s="232" t="s">
        <v>359</v>
      </c>
      <c r="B216" s="245"/>
      <c r="C216" s="308">
        <f>'Budget &amp; Costs'!Q333</f>
        <v>0</v>
      </c>
      <c r="D216" t="s">
        <v>1128</v>
      </c>
    </row>
    <row r="217" spans="1:4" x14ac:dyDescent="0.25">
      <c r="A217" s="232" t="s">
        <v>360</v>
      </c>
      <c r="B217" s="245"/>
      <c r="C217" s="308">
        <f>'Budget &amp; Costs'!Q334</f>
        <v>0</v>
      </c>
      <c r="D217" t="s">
        <v>1128</v>
      </c>
    </row>
    <row r="218" spans="1:4" x14ac:dyDescent="0.25">
      <c r="A218" s="232" t="s">
        <v>972</v>
      </c>
      <c r="B218" s="245"/>
      <c r="C218" s="308">
        <f>'Budget &amp; Costs'!Q335</f>
        <v>0</v>
      </c>
      <c r="D218" t="s">
        <v>1128</v>
      </c>
    </row>
    <row r="219" spans="1:4" x14ac:dyDescent="0.25">
      <c r="A219" s="232" t="s">
        <v>972</v>
      </c>
      <c r="B219" s="245"/>
      <c r="C219" s="308">
        <f>'Budget &amp; Costs'!Q336</f>
        <v>0</v>
      </c>
      <c r="D219" t="s">
        <v>1128</v>
      </c>
    </row>
    <row r="220" spans="1:4" x14ac:dyDescent="0.25">
      <c r="A220" s="232" t="s">
        <v>361</v>
      </c>
      <c r="B220" s="232"/>
      <c r="C220" s="308">
        <f>'Budget &amp; Costs'!Q338</f>
        <v>0</v>
      </c>
      <c r="D220" t="s">
        <v>1128</v>
      </c>
    </row>
    <row r="221" spans="1:4" x14ac:dyDescent="0.25">
      <c r="A221" s="232" t="s">
        <v>362</v>
      </c>
      <c r="B221" s="232"/>
      <c r="C221" s="308">
        <f>'Budget &amp; Costs'!Q339</f>
        <v>0</v>
      </c>
      <c r="D221" t="s">
        <v>1128</v>
      </c>
    </row>
    <row r="222" spans="1:4" x14ac:dyDescent="0.25">
      <c r="A222" s="232" t="s">
        <v>363</v>
      </c>
      <c r="B222" s="232"/>
      <c r="C222" s="308">
        <f>'Budget &amp; Costs'!Q340</f>
        <v>0</v>
      </c>
      <c r="D222" t="s">
        <v>1128</v>
      </c>
    </row>
    <row r="223" spans="1:4" x14ac:dyDescent="0.25">
      <c r="A223" s="232" t="s">
        <v>364</v>
      </c>
      <c r="B223" s="232"/>
      <c r="C223" s="308">
        <f>'Budget &amp; Costs'!Q341</f>
        <v>0</v>
      </c>
      <c r="D223" t="s">
        <v>1128</v>
      </c>
    </row>
    <row r="224" spans="1:4" x14ac:dyDescent="0.25">
      <c r="A224" s="232" t="s">
        <v>365</v>
      </c>
      <c r="B224" s="232"/>
      <c r="C224" s="308">
        <f>'Budget &amp; Costs'!Q342</f>
        <v>0</v>
      </c>
      <c r="D224" t="s">
        <v>1128</v>
      </c>
    </row>
    <row r="225" spans="1:4" x14ac:dyDescent="0.25">
      <c r="A225" s="232" t="s">
        <v>366</v>
      </c>
      <c r="B225" s="232"/>
      <c r="C225" s="308">
        <f>'Budget &amp; Costs'!Q343</f>
        <v>0</v>
      </c>
      <c r="D225" t="s">
        <v>1128</v>
      </c>
    </row>
    <row r="226" spans="1:4" x14ac:dyDescent="0.25">
      <c r="A226" s="232" t="s">
        <v>367</v>
      </c>
      <c r="B226" s="232"/>
      <c r="C226" s="308">
        <f>'Budget &amp; Costs'!Q344</f>
        <v>0</v>
      </c>
      <c r="D226" t="s">
        <v>1128</v>
      </c>
    </row>
    <row r="227" spans="1:4" x14ac:dyDescent="0.25">
      <c r="A227" s="232" t="s">
        <v>973</v>
      </c>
      <c r="B227" s="232"/>
      <c r="C227" s="308">
        <f>'Budget &amp; Costs'!Q345</f>
        <v>0</v>
      </c>
      <c r="D227" t="s">
        <v>1128</v>
      </c>
    </row>
    <row r="228" spans="1:4" x14ac:dyDescent="0.25">
      <c r="A228" s="232" t="s">
        <v>973</v>
      </c>
      <c r="B228" s="232"/>
      <c r="C228" s="308">
        <f>'Budget &amp; Costs'!Q346</f>
        <v>0</v>
      </c>
      <c r="D228" t="s">
        <v>1128</v>
      </c>
    </row>
    <row r="229" spans="1:4" x14ac:dyDescent="0.25">
      <c r="A229" s="232" t="s">
        <v>368</v>
      </c>
      <c r="B229" s="232"/>
      <c r="C229" s="308">
        <f>'Budget &amp; Costs'!Q348</f>
        <v>0</v>
      </c>
      <c r="D229" t="s">
        <v>1128</v>
      </c>
    </row>
    <row r="230" spans="1:4" x14ac:dyDescent="0.25">
      <c r="A230" s="232" t="s">
        <v>369</v>
      </c>
      <c r="B230" s="232"/>
      <c r="C230" s="308">
        <f>'Budget &amp; Costs'!Q349</f>
        <v>0</v>
      </c>
      <c r="D230" t="s">
        <v>1128</v>
      </c>
    </row>
    <row r="231" spans="1:4" x14ac:dyDescent="0.25">
      <c r="A231" s="232" t="s">
        <v>370</v>
      </c>
      <c r="B231" s="232"/>
      <c r="C231" s="308">
        <f>'Budget &amp; Costs'!Q350</f>
        <v>0</v>
      </c>
      <c r="D231" t="s">
        <v>1128</v>
      </c>
    </row>
    <row r="232" spans="1:4" x14ac:dyDescent="0.25">
      <c r="A232" s="232" t="s">
        <v>974</v>
      </c>
      <c r="B232" s="232"/>
      <c r="C232" s="308">
        <f>'Budget &amp; Costs'!Q352</f>
        <v>0</v>
      </c>
      <c r="D232" t="s">
        <v>1128</v>
      </c>
    </row>
    <row r="233" spans="1:4" x14ac:dyDescent="0.25">
      <c r="A233" s="232" t="s">
        <v>974</v>
      </c>
      <c r="B233" s="232"/>
      <c r="C233" s="308">
        <f>'Budget &amp; Costs'!Q353</f>
        <v>0</v>
      </c>
      <c r="D233" t="s">
        <v>1128</v>
      </c>
    </row>
    <row r="234" spans="1:4" x14ac:dyDescent="0.25">
      <c r="A234" s="232" t="s">
        <v>371</v>
      </c>
      <c r="B234" s="232"/>
      <c r="C234" s="308">
        <f>'Budget &amp; Costs'!Q355</f>
        <v>0</v>
      </c>
      <c r="D234" t="s">
        <v>1128</v>
      </c>
    </row>
    <row r="235" spans="1:4" x14ac:dyDescent="0.25">
      <c r="A235" s="232" t="s">
        <v>372</v>
      </c>
      <c r="B235" s="232"/>
      <c r="C235" s="308">
        <f>'Budget &amp; Costs'!Q356</f>
        <v>0</v>
      </c>
      <c r="D235" t="s">
        <v>1128</v>
      </c>
    </row>
    <row r="236" spans="1:4" x14ac:dyDescent="0.25">
      <c r="A236" s="232" t="s">
        <v>373</v>
      </c>
      <c r="B236" s="232"/>
      <c r="C236" s="308">
        <f>'Budget &amp; Costs'!Q357</f>
        <v>0</v>
      </c>
      <c r="D236" t="s">
        <v>1128</v>
      </c>
    </row>
    <row r="237" spans="1:4" x14ac:dyDescent="0.25">
      <c r="A237" s="232" t="s">
        <v>405</v>
      </c>
      <c r="B237" s="232"/>
      <c r="C237" s="308">
        <f>'Budget &amp; Costs'!Q358</f>
        <v>0</v>
      </c>
      <c r="D237" t="s">
        <v>1128</v>
      </c>
    </row>
    <row r="238" spans="1:4" x14ac:dyDescent="0.25">
      <c r="A238" s="232" t="s">
        <v>374</v>
      </c>
      <c r="B238" s="232"/>
      <c r="C238" s="308">
        <f>'Budget &amp; Costs'!Q359</f>
        <v>0</v>
      </c>
      <c r="D238" t="s">
        <v>1128</v>
      </c>
    </row>
    <row r="239" spans="1:4" x14ac:dyDescent="0.25">
      <c r="A239" s="232" t="s">
        <v>375</v>
      </c>
      <c r="B239" s="232"/>
      <c r="C239" s="308">
        <f>'Budget &amp; Costs'!Q360</f>
        <v>0</v>
      </c>
      <c r="D239" t="s">
        <v>1128</v>
      </c>
    </row>
    <row r="240" spans="1:4" x14ac:dyDescent="0.25">
      <c r="A240" s="232" t="s">
        <v>376</v>
      </c>
      <c r="B240" s="232"/>
      <c r="C240" s="308">
        <f>'Budget &amp; Costs'!Q361</f>
        <v>0</v>
      </c>
      <c r="D240" t="s">
        <v>1128</v>
      </c>
    </row>
    <row r="241" spans="1:4" x14ac:dyDescent="0.25">
      <c r="A241" s="232" t="s">
        <v>377</v>
      </c>
      <c r="B241" s="232"/>
      <c r="C241" s="308">
        <f>'Budget &amp; Costs'!Q362</f>
        <v>0</v>
      </c>
      <c r="D241" t="s">
        <v>1128</v>
      </c>
    </row>
    <row r="242" spans="1:4" x14ac:dyDescent="0.25">
      <c r="A242" s="232" t="s">
        <v>378</v>
      </c>
      <c r="B242" s="232"/>
      <c r="C242" s="308">
        <f>'Budget &amp; Costs'!Q363</f>
        <v>0</v>
      </c>
      <c r="D242" t="s">
        <v>1128</v>
      </c>
    </row>
    <row r="243" spans="1:4" x14ac:dyDescent="0.25">
      <c r="A243" s="232" t="s">
        <v>379</v>
      </c>
      <c r="B243" s="232"/>
      <c r="C243" s="308">
        <f>'Budget &amp; Costs'!Q364</f>
        <v>0</v>
      </c>
      <c r="D243" t="s">
        <v>1128</v>
      </c>
    </row>
    <row r="244" spans="1:4" x14ac:dyDescent="0.25">
      <c r="A244" s="232" t="s">
        <v>380</v>
      </c>
      <c r="B244" s="232"/>
      <c r="C244" s="308">
        <f>'Budget &amp; Costs'!Q365</f>
        <v>0</v>
      </c>
      <c r="D244" t="s">
        <v>1128</v>
      </c>
    </row>
    <row r="245" spans="1:4" x14ac:dyDescent="0.25">
      <c r="A245" s="232" t="s">
        <v>381</v>
      </c>
      <c r="B245" s="232"/>
      <c r="C245" s="308">
        <f>'Budget &amp; Costs'!Q366</f>
        <v>0</v>
      </c>
      <c r="D245" t="s">
        <v>1128</v>
      </c>
    </row>
    <row r="246" spans="1:4" x14ac:dyDescent="0.25">
      <c r="A246" s="232" t="s">
        <v>975</v>
      </c>
      <c r="B246" s="232"/>
      <c r="C246" s="308">
        <f>'Budget &amp; Costs'!Q367</f>
        <v>0</v>
      </c>
      <c r="D246" t="s">
        <v>1128</v>
      </c>
    </row>
    <row r="247" spans="1:4" x14ac:dyDescent="0.25">
      <c r="A247" s="232" t="s">
        <v>975</v>
      </c>
      <c r="B247" s="232"/>
      <c r="C247" s="308">
        <f>'Budget &amp; Costs'!Q368</f>
        <v>0</v>
      </c>
      <c r="D247" t="s">
        <v>1128</v>
      </c>
    </row>
    <row r="248" spans="1:4" x14ac:dyDescent="0.25">
      <c r="A248" s="232" t="s">
        <v>382</v>
      </c>
      <c r="B248" s="232"/>
      <c r="C248" s="308">
        <f>'Budget &amp; Costs'!Q370</f>
        <v>0</v>
      </c>
      <c r="D248" t="s">
        <v>1128</v>
      </c>
    </row>
    <row r="249" spans="1:4" x14ac:dyDescent="0.25">
      <c r="A249" s="232" t="s">
        <v>383</v>
      </c>
      <c r="B249" s="232"/>
      <c r="C249" s="308">
        <f>'Budget &amp; Costs'!Q371</f>
        <v>0</v>
      </c>
      <c r="D249" t="s">
        <v>1128</v>
      </c>
    </row>
    <row r="250" spans="1:4" x14ac:dyDescent="0.25">
      <c r="A250" s="232" t="s">
        <v>384</v>
      </c>
      <c r="B250" s="232"/>
      <c r="C250" s="308">
        <f>'Budget &amp; Costs'!Q372</f>
        <v>0</v>
      </c>
      <c r="D250" t="s">
        <v>1128</v>
      </c>
    </row>
    <row r="251" spans="1:4" x14ac:dyDescent="0.25">
      <c r="A251" s="232" t="s">
        <v>385</v>
      </c>
      <c r="B251" s="232"/>
      <c r="C251" s="308">
        <f>'Budget &amp; Costs'!Q373</f>
        <v>0</v>
      </c>
      <c r="D251" t="s">
        <v>1128</v>
      </c>
    </row>
    <row r="252" spans="1:4" x14ac:dyDescent="0.25">
      <c r="A252" s="232" t="s">
        <v>386</v>
      </c>
      <c r="B252" s="232"/>
      <c r="C252" s="308">
        <f>'Budget &amp; Costs'!Q374</f>
        <v>0</v>
      </c>
      <c r="D252" t="s">
        <v>1128</v>
      </c>
    </row>
    <row r="253" spans="1:4" x14ac:dyDescent="0.25">
      <c r="A253" s="232" t="s">
        <v>387</v>
      </c>
      <c r="B253" s="232"/>
      <c r="C253" s="308">
        <f>'Budget &amp; Costs'!Q375</f>
        <v>0</v>
      </c>
      <c r="D253" t="s">
        <v>1128</v>
      </c>
    </row>
    <row r="254" spans="1:4" x14ac:dyDescent="0.25">
      <c r="A254" s="232" t="s">
        <v>388</v>
      </c>
      <c r="B254" s="232"/>
      <c r="C254" s="308">
        <f>'Budget &amp; Costs'!Q376</f>
        <v>0</v>
      </c>
      <c r="D254" t="s">
        <v>1128</v>
      </c>
    </row>
    <row r="255" spans="1:4" x14ac:dyDescent="0.25">
      <c r="A255" s="232" t="s">
        <v>942</v>
      </c>
      <c r="B255" s="232"/>
      <c r="C255" s="308">
        <f>'Budget &amp; Costs'!Q377</f>
        <v>0</v>
      </c>
      <c r="D255" t="s">
        <v>1128</v>
      </c>
    </row>
    <row r="256" spans="1:4" x14ac:dyDescent="0.25">
      <c r="A256" s="232" t="s">
        <v>976</v>
      </c>
      <c r="B256" s="232"/>
      <c r="C256" s="308">
        <f>'Budget &amp; Costs'!Q378</f>
        <v>0</v>
      </c>
      <c r="D256" t="s">
        <v>1128</v>
      </c>
    </row>
    <row r="257" spans="1:4" x14ac:dyDescent="0.25">
      <c r="A257" s="232" t="s">
        <v>976</v>
      </c>
      <c r="B257" s="232"/>
      <c r="C257" s="308">
        <f>'Budget &amp; Costs'!Q379</f>
        <v>0</v>
      </c>
      <c r="D257" t="s">
        <v>1128</v>
      </c>
    </row>
    <row r="258" spans="1:4" x14ac:dyDescent="0.25">
      <c r="A258" s="232" t="s">
        <v>389</v>
      </c>
      <c r="B258" s="232"/>
      <c r="C258" s="308">
        <f>'Budget &amp; Costs'!Q381</f>
        <v>0</v>
      </c>
      <c r="D258" t="s">
        <v>1128</v>
      </c>
    </row>
    <row r="259" spans="1:4" x14ac:dyDescent="0.25">
      <c r="A259" s="232" t="s">
        <v>390</v>
      </c>
      <c r="B259" s="232"/>
      <c r="C259" s="308">
        <f>'Budget &amp; Costs'!Q382</f>
        <v>0</v>
      </c>
      <c r="D259" t="s">
        <v>1128</v>
      </c>
    </row>
    <row r="260" spans="1:4" x14ac:dyDescent="0.25">
      <c r="A260" s="232" t="s">
        <v>856</v>
      </c>
      <c r="B260" s="232"/>
      <c r="C260" s="308">
        <f>'Budget &amp; Costs'!Q383</f>
        <v>0</v>
      </c>
      <c r="D260" t="s">
        <v>1128</v>
      </c>
    </row>
    <row r="261" spans="1:4" x14ac:dyDescent="0.25">
      <c r="A261" s="232" t="s">
        <v>915</v>
      </c>
      <c r="B261" s="232"/>
      <c r="C261" s="308">
        <f>'Budget &amp; Costs'!Q384</f>
        <v>0</v>
      </c>
      <c r="D261" t="s">
        <v>1128</v>
      </c>
    </row>
    <row r="262" spans="1:4" x14ac:dyDescent="0.25">
      <c r="A262" s="232" t="s">
        <v>857</v>
      </c>
      <c r="B262" s="232"/>
      <c r="C262" s="308">
        <f>'Budget &amp; Costs'!Q385</f>
        <v>0</v>
      </c>
      <c r="D262" t="s">
        <v>1128</v>
      </c>
    </row>
    <row r="263" spans="1:4" x14ac:dyDescent="0.25">
      <c r="A263" s="232" t="s">
        <v>858</v>
      </c>
      <c r="B263" s="232"/>
      <c r="C263" s="308">
        <f>'Budget &amp; Costs'!Q386</f>
        <v>0</v>
      </c>
      <c r="D263" t="s">
        <v>1128</v>
      </c>
    </row>
    <row r="264" spans="1:4" x14ac:dyDescent="0.25">
      <c r="A264" s="232" t="s">
        <v>859</v>
      </c>
      <c r="B264" s="232"/>
      <c r="C264" s="308">
        <f>'Budget &amp; Costs'!Q387</f>
        <v>0</v>
      </c>
      <c r="D264" t="s">
        <v>1128</v>
      </c>
    </row>
    <row r="265" spans="1:4" x14ac:dyDescent="0.25">
      <c r="A265" s="232" t="s">
        <v>391</v>
      </c>
      <c r="B265" s="232"/>
      <c r="C265" s="308">
        <f>'Budget &amp; Costs'!Q388</f>
        <v>0</v>
      </c>
      <c r="D265" t="s">
        <v>1128</v>
      </c>
    </row>
    <row r="266" spans="1:4" x14ac:dyDescent="0.25">
      <c r="A266" s="232" t="s">
        <v>392</v>
      </c>
      <c r="B266" s="232"/>
      <c r="C266" s="308">
        <f>'Budget &amp; Costs'!Q389</f>
        <v>0</v>
      </c>
      <c r="D266" t="s">
        <v>1128</v>
      </c>
    </row>
    <row r="267" spans="1:4" x14ac:dyDescent="0.25">
      <c r="A267" s="232" t="s">
        <v>943</v>
      </c>
      <c r="B267" s="232"/>
      <c r="C267" s="308">
        <f>'Budget &amp; Costs'!Q390</f>
        <v>0</v>
      </c>
      <c r="D267" t="s">
        <v>1128</v>
      </c>
    </row>
    <row r="268" spans="1:4" x14ac:dyDescent="0.25">
      <c r="A268" s="232" t="s">
        <v>977</v>
      </c>
      <c r="B268" s="232"/>
      <c r="C268" s="308">
        <f>'Budget &amp; Costs'!Q391</f>
        <v>0</v>
      </c>
      <c r="D268" t="s">
        <v>1128</v>
      </c>
    </row>
    <row r="269" spans="1:4" x14ac:dyDescent="0.25">
      <c r="A269" s="232" t="s">
        <v>977</v>
      </c>
      <c r="B269" s="232"/>
      <c r="C269" s="308">
        <f>'Budget &amp; Costs'!Q392</f>
        <v>0</v>
      </c>
      <c r="D269" t="s">
        <v>1128</v>
      </c>
    </row>
    <row r="270" spans="1:4" x14ac:dyDescent="0.25">
      <c r="A270" s="232" t="s">
        <v>393</v>
      </c>
      <c r="B270" s="232"/>
      <c r="C270" s="308">
        <f>'Budget &amp; Costs'!Q394</f>
        <v>0</v>
      </c>
      <c r="D270" t="s">
        <v>1128</v>
      </c>
    </row>
    <row r="271" spans="1:4" x14ac:dyDescent="0.25">
      <c r="A271" s="232" t="s">
        <v>394</v>
      </c>
      <c r="B271" s="232"/>
      <c r="C271" s="308">
        <f>'Budget &amp; Costs'!Q395</f>
        <v>0</v>
      </c>
      <c r="D271" t="s">
        <v>1128</v>
      </c>
    </row>
    <row r="272" spans="1:4" x14ac:dyDescent="0.25">
      <c r="A272" s="232" t="s">
        <v>395</v>
      </c>
      <c r="B272" s="232"/>
      <c r="C272" s="308">
        <f>'Budget &amp; Costs'!Q396</f>
        <v>0</v>
      </c>
      <c r="D272" t="s">
        <v>1128</v>
      </c>
    </row>
    <row r="273" spans="1:4" x14ac:dyDescent="0.25">
      <c r="A273" s="232" t="s">
        <v>978</v>
      </c>
      <c r="B273" s="232"/>
      <c r="C273" s="308">
        <f>'Budget &amp; Costs'!Q397</f>
        <v>0</v>
      </c>
      <c r="D273" t="s">
        <v>1128</v>
      </c>
    </row>
    <row r="274" spans="1:4" x14ac:dyDescent="0.25">
      <c r="A274" s="232" t="s">
        <v>978</v>
      </c>
      <c r="B274" s="232"/>
      <c r="C274" s="308">
        <f>'Budget &amp; Costs'!Q398</f>
        <v>0</v>
      </c>
      <c r="D274" t="s">
        <v>1128</v>
      </c>
    </row>
    <row r="275" spans="1:4" x14ac:dyDescent="0.25">
      <c r="A275" s="232" t="s">
        <v>396</v>
      </c>
      <c r="B275" s="232"/>
      <c r="C275" s="308">
        <f>'Budget &amp; Costs'!Q400</f>
        <v>0</v>
      </c>
      <c r="D275" t="s">
        <v>1128</v>
      </c>
    </row>
    <row r="276" spans="1:4" x14ac:dyDescent="0.25">
      <c r="A276" s="232" t="s">
        <v>397</v>
      </c>
      <c r="B276" s="232"/>
      <c r="C276" s="308">
        <f>'Budget &amp; Costs'!Q401</f>
        <v>0</v>
      </c>
      <c r="D276" t="s">
        <v>1128</v>
      </c>
    </row>
    <row r="277" spans="1:4" x14ac:dyDescent="0.25">
      <c r="A277" s="232" t="s">
        <v>979</v>
      </c>
      <c r="B277" s="232"/>
      <c r="C277" s="308">
        <f>'Budget &amp; Costs'!Q402</f>
        <v>0</v>
      </c>
      <c r="D277" t="s">
        <v>1128</v>
      </c>
    </row>
    <row r="278" spans="1:4" x14ac:dyDescent="0.25">
      <c r="A278" s="232" t="s">
        <v>979</v>
      </c>
      <c r="B278" s="232"/>
      <c r="C278" s="308">
        <f>'Budget &amp; Costs'!Q403</f>
        <v>0</v>
      </c>
      <c r="D278" t="s">
        <v>1128</v>
      </c>
    </row>
    <row r="279" spans="1:4" x14ac:dyDescent="0.25">
      <c r="A279" s="232" t="s">
        <v>971</v>
      </c>
      <c r="B279" s="232"/>
      <c r="C279" s="308">
        <f>'Budget &amp; Costs'!Q405</f>
        <v>0</v>
      </c>
      <c r="D279" t="s">
        <v>1128</v>
      </c>
    </row>
    <row r="280" spans="1:4" x14ac:dyDescent="0.25">
      <c r="A280" s="232" t="s">
        <v>967</v>
      </c>
      <c r="B280" s="232"/>
      <c r="C280" s="309" t="e">
        <f>'Budget &amp; Costs'!Q405/'Budget &amp; Costs'!C45</f>
        <v>#DIV/0!</v>
      </c>
      <c r="D280" t="s">
        <v>1128</v>
      </c>
    </row>
    <row r="281" spans="1:4" x14ac:dyDescent="0.25">
      <c r="A281" s="232" t="s">
        <v>1479</v>
      </c>
      <c r="B281" s="232"/>
      <c r="C281" s="309" t="e">
        <f>'Budget &amp; Costs'!Q405/'Budget &amp; Costs'!D50</f>
        <v>#DIV/0!</v>
      </c>
      <c r="D281" t="s">
        <v>1128</v>
      </c>
    </row>
    <row r="282" spans="1:4" x14ac:dyDescent="0.25">
      <c r="A282" s="232" t="s">
        <v>1038</v>
      </c>
      <c r="B282" s="232"/>
      <c r="C282" s="308">
        <f>'Budget &amp; Costs'!G239</f>
        <v>0</v>
      </c>
      <c r="D282" t="s">
        <v>1128</v>
      </c>
    </row>
    <row r="283" spans="1:4" x14ac:dyDescent="0.25">
      <c r="A283" s="232" t="s">
        <v>1095</v>
      </c>
      <c r="B283" s="232"/>
      <c r="C283" s="309">
        <f>'Budget &amp; Costs'!G218</f>
        <v>0</v>
      </c>
      <c r="D283" t="s">
        <v>1128</v>
      </c>
    </row>
    <row r="284" spans="1:4" x14ac:dyDescent="0.25">
      <c r="A284" t="s">
        <v>1282</v>
      </c>
      <c r="B284" t="s">
        <v>1333</v>
      </c>
      <c r="C284" s="195" t="str">
        <f>'Budget &amp; Costs'!L195</f>
        <v>Yes</v>
      </c>
      <c r="D284" t="s">
        <v>1128</v>
      </c>
    </row>
    <row r="285" spans="1:4" x14ac:dyDescent="0.25">
      <c r="A285" s="256" t="str">
        <f>'Budget &amp; Costs'!C90</f>
        <v>Annual Rent</v>
      </c>
      <c r="B285" s="256"/>
      <c r="C285" s="312">
        <f>'Budget &amp; Costs'!F90</f>
        <v>0</v>
      </c>
      <c r="D285" t="s">
        <v>1126</v>
      </c>
    </row>
    <row r="286" spans="1:4" x14ac:dyDescent="0.25">
      <c r="A286" s="256" t="str">
        <f>'Budget &amp; Costs'!C91</f>
        <v xml:space="preserve">Annual Residential Fee Income </v>
      </c>
      <c r="B286" s="256"/>
      <c r="C286" s="312">
        <f>'Budget &amp; Costs'!F91</f>
        <v>0</v>
      </c>
      <c r="D286" t="s">
        <v>1126</v>
      </c>
    </row>
    <row r="287" spans="1:4" x14ac:dyDescent="0.25">
      <c r="A287" s="256" t="str">
        <f>'Budget &amp; Costs'!C92</f>
        <v xml:space="preserve">Annual Other Income </v>
      </c>
      <c r="B287" s="256"/>
      <c r="C287" s="312">
        <f>'Budget &amp; Costs'!F92</f>
        <v>0</v>
      </c>
      <c r="D287" t="s">
        <v>1126</v>
      </c>
    </row>
    <row r="288" spans="1:4" x14ac:dyDescent="0.25">
      <c r="A288" s="256" t="str">
        <f>'Budget &amp; Costs'!C93</f>
        <v xml:space="preserve">Annual Commercial Income </v>
      </c>
      <c r="B288" s="256"/>
      <c r="C288" s="312">
        <f>'Budget &amp; Costs'!F93</f>
        <v>0</v>
      </c>
      <c r="D288" t="s">
        <v>1126</v>
      </c>
    </row>
    <row r="289" spans="1:4" x14ac:dyDescent="0.25">
      <c r="A289" s="256" t="str">
        <f>'Budget &amp; Costs'!C94</f>
        <v>Other Rental Income</v>
      </c>
      <c r="B289" s="256"/>
      <c r="C289" s="312">
        <f>'Budget &amp; Costs'!F94</f>
        <v>0</v>
      </c>
      <c r="D289" t="s">
        <v>1126</v>
      </c>
    </row>
    <row r="290" spans="1:4" x14ac:dyDescent="0.25">
      <c r="A290" s="256" t="str">
        <f>'Budget &amp; Costs'!C95</f>
        <v>Annual Vacancy Allowance</v>
      </c>
      <c r="B290" s="256"/>
      <c r="C290" s="312">
        <f>'Budget &amp; Costs'!F95</f>
        <v>0</v>
      </c>
      <c r="D290" t="s">
        <v>1126</v>
      </c>
    </row>
    <row r="291" spans="1:4" x14ac:dyDescent="0.25">
      <c r="A291" s="256" t="s">
        <v>240</v>
      </c>
      <c r="B291" s="256"/>
      <c r="C291" s="312">
        <f>'Budget &amp; Costs'!F96</f>
        <v>0</v>
      </c>
      <c r="D291" t="s">
        <v>1126</v>
      </c>
    </row>
    <row r="292" spans="1:4" x14ac:dyDescent="0.25">
      <c r="A292" s="256" t="str">
        <f>'Budget &amp; Costs'!C98</f>
        <v>Interest Income</v>
      </c>
      <c r="B292" s="256"/>
      <c r="C292" s="312">
        <f>'Budget &amp; Costs'!F98</f>
        <v>0</v>
      </c>
      <c r="D292" t="s">
        <v>1126</v>
      </c>
    </row>
    <row r="293" spans="1:4" x14ac:dyDescent="0.25">
      <c r="A293" s="256" t="str">
        <f>'Budget &amp; Costs'!C99</f>
        <v xml:space="preserve">Interest from Reserve Accounts </v>
      </c>
      <c r="B293" s="256"/>
      <c r="C293" s="312">
        <f>'Budget &amp; Costs'!F99</f>
        <v>0</v>
      </c>
      <c r="D293" t="s">
        <v>1126</v>
      </c>
    </row>
    <row r="294" spans="1:4" x14ac:dyDescent="0.25">
      <c r="A294" s="256" t="str">
        <f>'Budget &amp; Costs'!C100</f>
        <v>Other Financial Income</v>
      </c>
      <c r="B294" s="256"/>
      <c r="C294" s="312">
        <f>'Budget &amp; Costs'!F100</f>
        <v>0</v>
      </c>
      <c r="D294" t="s">
        <v>1126</v>
      </c>
    </row>
    <row r="295" spans="1:4" x14ac:dyDescent="0.25">
      <c r="A295" s="256" t="s">
        <v>244</v>
      </c>
      <c r="B295" s="256"/>
      <c r="C295" s="312">
        <f>'Budget &amp; Costs'!F101</f>
        <v>0</v>
      </c>
      <c r="D295" t="s">
        <v>1126</v>
      </c>
    </row>
    <row r="296" spans="1:4" x14ac:dyDescent="0.25">
      <c r="A296" s="256" t="str">
        <f>'Budget &amp; Costs'!C103</f>
        <v>Laundry Revenue</v>
      </c>
      <c r="B296" s="256"/>
      <c r="C296" s="312">
        <f>'Budget &amp; Costs'!F103</f>
        <v>0</v>
      </c>
      <c r="D296" t="s">
        <v>1126</v>
      </c>
    </row>
    <row r="297" spans="1:4" x14ac:dyDescent="0.25">
      <c r="A297" s="256" t="str">
        <f>'Budget &amp; Costs'!C104</f>
        <v>Tenant Charges/Fees</v>
      </c>
      <c r="B297" s="256"/>
      <c r="C297" s="312">
        <f>'Budget &amp; Costs'!F104</f>
        <v>0</v>
      </c>
      <c r="D297" t="s">
        <v>1126</v>
      </c>
    </row>
    <row r="298" spans="1:4" x14ac:dyDescent="0.25">
      <c r="A298" s="256" t="str">
        <f>'Budget &amp; Costs'!C105</f>
        <v>Elderly Care/Service Delivery</v>
      </c>
      <c r="B298" s="256"/>
      <c r="C298" s="312">
        <f>'Budget &amp; Costs'!F105</f>
        <v>0</v>
      </c>
      <c r="D298" t="s">
        <v>1126</v>
      </c>
    </row>
    <row r="299" spans="1:4" x14ac:dyDescent="0.25">
      <c r="A299" s="256" t="str">
        <f>'Budget &amp; Costs'!C106</f>
        <v>Other Service Income 1</v>
      </c>
      <c r="B299" s="256"/>
      <c r="C299" s="312">
        <f>'Budget &amp; Costs'!F106</f>
        <v>0</v>
      </c>
      <c r="D299" t="s">
        <v>1126</v>
      </c>
    </row>
    <row r="300" spans="1:4" x14ac:dyDescent="0.25">
      <c r="A300" s="256" t="str">
        <f>'Budget &amp; Costs'!C107</f>
        <v>Other Service Income 2</v>
      </c>
      <c r="B300" s="256"/>
      <c r="C300" s="312">
        <f>'Budget &amp; Costs'!F107</f>
        <v>0</v>
      </c>
      <c r="D300" t="s">
        <v>1126</v>
      </c>
    </row>
    <row r="301" spans="1:4" x14ac:dyDescent="0.25">
      <c r="A301" s="256" t="str">
        <f>'Budget &amp; Costs'!C108</f>
        <v>Other Service Income 3</v>
      </c>
      <c r="B301" s="256"/>
      <c r="C301" s="312">
        <f>'Budget &amp; Costs'!F108</f>
        <v>0</v>
      </c>
      <c r="D301" t="s">
        <v>1126</v>
      </c>
    </row>
    <row r="302" spans="1:4" x14ac:dyDescent="0.25">
      <c r="A302" s="256" t="s">
        <v>255</v>
      </c>
      <c r="B302" s="256"/>
      <c r="C302" s="312">
        <f>'Budget &amp; Costs'!F109</f>
        <v>0</v>
      </c>
      <c r="D302" t="s">
        <v>1126</v>
      </c>
    </row>
    <row r="303" spans="1:4" x14ac:dyDescent="0.25">
      <c r="A303" s="256" t="s">
        <v>1475</v>
      </c>
      <c r="B303" s="256"/>
      <c r="C303" s="312">
        <f>'Budget &amp; Costs'!F111</f>
        <v>0</v>
      </c>
      <c r="D303" t="s">
        <v>1126</v>
      </c>
    </row>
    <row r="304" spans="1:4" x14ac:dyDescent="0.25">
      <c r="A304" s="256" t="s">
        <v>1476</v>
      </c>
      <c r="B304" s="256"/>
      <c r="C304" s="312" t="e">
        <f>'Budget &amp; Costs'!G111</f>
        <v>#DIV/0!</v>
      </c>
      <c r="D304" t="s">
        <v>1126</v>
      </c>
    </row>
    <row r="305" spans="1:4" x14ac:dyDescent="0.25">
      <c r="A305" s="256" t="str">
        <f>'Budget &amp; Costs'!C115</f>
        <v>Advertising and Marketing</v>
      </c>
      <c r="B305" s="256"/>
      <c r="C305" s="312">
        <f>'Budget &amp; Costs'!F115</f>
        <v>0</v>
      </c>
      <c r="D305" t="s">
        <v>819</v>
      </c>
    </row>
    <row r="306" spans="1:4" x14ac:dyDescent="0.25">
      <c r="A306" s="256" t="str">
        <f>'Budget &amp; Costs'!C116</f>
        <v>Office Expenses</v>
      </c>
      <c r="B306" s="256"/>
      <c r="C306" s="312">
        <f>'Budget &amp; Costs'!F116</f>
        <v>0</v>
      </c>
      <c r="D306" t="s">
        <v>819</v>
      </c>
    </row>
    <row r="307" spans="1:4" x14ac:dyDescent="0.25">
      <c r="A307" s="256" t="str">
        <f>'Budget &amp; Costs'!C117</f>
        <v>Administrative Salaries</v>
      </c>
      <c r="B307" s="256"/>
      <c r="C307" s="312">
        <f>'Budget &amp; Costs'!F117</f>
        <v>0</v>
      </c>
      <c r="D307" t="s">
        <v>819</v>
      </c>
    </row>
    <row r="308" spans="1:4" x14ac:dyDescent="0.25">
      <c r="A308" s="256" t="str">
        <f>'Budget &amp; Costs'!C118</f>
        <v>Telephone</v>
      </c>
      <c r="B308" s="256"/>
      <c r="C308" s="312">
        <f>'Budget &amp; Costs'!F118</f>
        <v>0</v>
      </c>
      <c r="D308" t="s">
        <v>819</v>
      </c>
    </row>
    <row r="309" spans="1:4" x14ac:dyDescent="0.25">
      <c r="A309" s="256" t="str">
        <f>'Budget &amp; Costs'!C119</f>
        <v>Management Fee</v>
      </c>
      <c r="B309" s="256"/>
      <c r="C309" s="312">
        <f>'Budget &amp; Costs'!F119</f>
        <v>0</v>
      </c>
      <c r="D309" t="s">
        <v>819</v>
      </c>
    </row>
    <row r="310" spans="1:4" x14ac:dyDescent="0.25">
      <c r="A310" s="256" t="str">
        <f>'Budget &amp; Costs'!C120</f>
        <v xml:space="preserve">Management Salary </v>
      </c>
      <c r="B310" s="256"/>
      <c r="C310" s="312">
        <f>'Budget &amp; Costs'!F120</f>
        <v>0</v>
      </c>
      <c r="D310" t="s">
        <v>819</v>
      </c>
    </row>
    <row r="311" spans="1:4" x14ac:dyDescent="0.25">
      <c r="A311" s="256" t="str">
        <f>'Budget &amp; Costs'!C121</f>
        <v>Legal Expense</v>
      </c>
      <c r="B311" s="256"/>
      <c r="C311" s="312">
        <f>'Budget &amp; Costs'!F121</f>
        <v>0</v>
      </c>
      <c r="D311" t="s">
        <v>819</v>
      </c>
    </row>
    <row r="312" spans="1:4" x14ac:dyDescent="0.25">
      <c r="A312" s="256" t="str">
        <f>'Budget &amp; Costs'!C122</f>
        <v>Audit Expense</v>
      </c>
      <c r="B312" s="256"/>
      <c r="C312" s="312">
        <f>'Budget &amp; Costs'!F122</f>
        <v>0</v>
      </c>
      <c r="D312" t="s">
        <v>819</v>
      </c>
    </row>
    <row r="313" spans="1:4" x14ac:dyDescent="0.25">
      <c r="A313" s="256" t="str">
        <f>'Budget &amp; Costs'!C123</f>
        <v>Accounting Fees</v>
      </c>
      <c r="B313" s="256"/>
      <c r="C313" s="312">
        <f>'Budget &amp; Costs'!F123</f>
        <v>0</v>
      </c>
      <c r="D313" t="s">
        <v>819</v>
      </c>
    </row>
    <row r="314" spans="1:4" x14ac:dyDescent="0.25">
      <c r="A314" s="256" t="str">
        <f>'Budget &amp; Costs'!C124</f>
        <v>Bad Debts</v>
      </c>
      <c r="B314" s="256"/>
      <c r="C314" s="312">
        <f>'Budget &amp; Costs'!F124</f>
        <v>0</v>
      </c>
      <c r="D314" t="s">
        <v>819</v>
      </c>
    </row>
    <row r="315" spans="1:4" x14ac:dyDescent="0.25">
      <c r="A315" s="256" t="str">
        <f>'Budget &amp; Costs'!C125</f>
        <v>Tenant Relations</v>
      </c>
      <c r="B315" s="256"/>
      <c r="C315" s="312">
        <f>'Budget &amp; Costs'!F125</f>
        <v>0</v>
      </c>
      <c r="D315" t="s">
        <v>819</v>
      </c>
    </row>
    <row r="316" spans="1:4" x14ac:dyDescent="0.25">
      <c r="A316" s="256" t="str">
        <f>'Budget &amp; Costs'!C126</f>
        <v>Misc. Administrative Expenses</v>
      </c>
      <c r="B316" s="256"/>
      <c r="C316" s="312">
        <f>'Budget &amp; Costs'!F126</f>
        <v>0</v>
      </c>
      <c r="D316" t="s">
        <v>819</v>
      </c>
    </row>
    <row r="317" spans="1:4" x14ac:dyDescent="0.25">
      <c r="A317" s="256" t="str">
        <f>'Budget &amp; Costs'!C127</f>
        <v xml:space="preserve">Supportive Services </v>
      </c>
      <c r="B317" s="256"/>
      <c r="C317" s="312">
        <f>'Budget &amp; Costs'!F127</f>
        <v>0</v>
      </c>
      <c r="D317" t="s">
        <v>819</v>
      </c>
    </row>
    <row r="318" spans="1:4" x14ac:dyDescent="0.25">
      <c r="A318" s="256" t="str">
        <f>'Budget &amp; Costs'!C128</f>
        <v>Other Admin 1</v>
      </c>
      <c r="B318" s="256"/>
      <c r="C318" s="312">
        <f>'Budget &amp; Costs'!F128</f>
        <v>0</v>
      </c>
      <c r="D318" t="s">
        <v>819</v>
      </c>
    </row>
    <row r="319" spans="1:4" x14ac:dyDescent="0.25">
      <c r="A319" s="256" t="str">
        <f>'Budget &amp; Costs'!C129</f>
        <v>Other Admin 2</v>
      </c>
      <c r="B319" s="256"/>
      <c r="C319" s="312">
        <f>'Budget &amp; Costs'!F129</f>
        <v>0</v>
      </c>
      <c r="D319" t="s">
        <v>819</v>
      </c>
    </row>
    <row r="320" spans="1:4" x14ac:dyDescent="0.25">
      <c r="A320" s="256" t="s">
        <v>276</v>
      </c>
      <c r="B320" s="256"/>
      <c r="C320" s="312">
        <f>'Budget &amp; Costs'!F130</f>
        <v>0</v>
      </c>
      <c r="D320" t="s">
        <v>819</v>
      </c>
    </row>
    <row r="321" spans="1:4" x14ac:dyDescent="0.25">
      <c r="A321" s="256" t="str">
        <f>'Budget &amp; Costs'!C132</f>
        <v>Electricity</v>
      </c>
      <c r="B321" s="256"/>
      <c r="C321" s="312">
        <f>'Budget &amp; Costs'!F132</f>
        <v>0</v>
      </c>
      <c r="D321" t="s">
        <v>819</v>
      </c>
    </row>
    <row r="322" spans="1:4" x14ac:dyDescent="0.25">
      <c r="A322" s="256" t="str">
        <f>'Budget &amp; Costs'!C133</f>
        <v>Water</v>
      </c>
      <c r="B322" s="256"/>
      <c r="C322" s="312">
        <f>'Budget &amp; Costs'!F133</f>
        <v>0</v>
      </c>
      <c r="D322" t="s">
        <v>819</v>
      </c>
    </row>
    <row r="323" spans="1:4" x14ac:dyDescent="0.25">
      <c r="A323" s="256" t="str">
        <f>'Budget &amp; Costs'!C134</f>
        <v>Gas</v>
      </c>
      <c r="B323" s="256"/>
      <c r="C323" s="312">
        <f>'Budget &amp; Costs'!F134</f>
        <v>0</v>
      </c>
      <c r="D323" t="s">
        <v>819</v>
      </c>
    </row>
    <row r="324" spans="1:4" x14ac:dyDescent="0.25">
      <c r="A324" s="256" t="str">
        <f>'Budget &amp; Costs'!C135</f>
        <v>Sewer</v>
      </c>
      <c r="B324" s="256"/>
      <c r="C324" s="312">
        <f>'Budget &amp; Costs'!F135</f>
        <v>0</v>
      </c>
      <c r="D324" t="s">
        <v>819</v>
      </c>
    </row>
    <row r="325" spans="1:4" x14ac:dyDescent="0.25">
      <c r="A325" s="256" t="str">
        <f>'Budget &amp; Costs'!C136</f>
        <v>Cable/Internet</v>
      </c>
      <c r="B325" s="256"/>
      <c r="C325" s="312">
        <f>'Budget &amp; Costs'!F136</f>
        <v>0</v>
      </c>
      <c r="D325" t="s">
        <v>819</v>
      </c>
    </row>
    <row r="326" spans="1:4" x14ac:dyDescent="0.25">
      <c r="A326" s="256" t="str">
        <f>'Budget &amp; Costs'!C137</f>
        <v>Other Utility 1</v>
      </c>
      <c r="B326" s="256"/>
      <c r="C326" s="312">
        <f>'Budget &amp; Costs'!F137</f>
        <v>0</v>
      </c>
      <c r="D326" t="s">
        <v>819</v>
      </c>
    </row>
    <row r="327" spans="1:4" x14ac:dyDescent="0.25">
      <c r="A327" s="256" t="str">
        <f>'Budget &amp; Costs'!C138</f>
        <v>Other Utility 2</v>
      </c>
      <c r="B327" s="256"/>
      <c r="C327" s="312">
        <f>'Budget &amp; Costs'!F138</f>
        <v>0</v>
      </c>
      <c r="D327" t="s">
        <v>819</v>
      </c>
    </row>
    <row r="328" spans="1:4" x14ac:dyDescent="0.25">
      <c r="A328" s="256" t="s">
        <v>286</v>
      </c>
      <c r="B328" s="256"/>
      <c r="C328" s="312">
        <f>'Budget &amp; Costs'!F139</f>
        <v>0</v>
      </c>
      <c r="D328" t="s">
        <v>819</v>
      </c>
    </row>
    <row r="329" spans="1:4" x14ac:dyDescent="0.25">
      <c r="A329" s="256" t="str">
        <f>'Budget &amp; Costs'!C141</f>
        <v>Operating/Maintenance Contracts</v>
      </c>
      <c r="B329" s="256"/>
      <c r="C329" s="312">
        <f>'Budget &amp; Costs'!F141</f>
        <v>0</v>
      </c>
      <c r="D329" t="s">
        <v>819</v>
      </c>
    </row>
    <row r="330" spans="1:4" x14ac:dyDescent="0.25">
      <c r="A330" s="256" t="str">
        <f>'Budget &amp; Costs'!C142</f>
        <v>Elevator</v>
      </c>
      <c r="B330" s="256"/>
      <c r="C330" s="312">
        <f>'Budget &amp; Costs'!F142</f>
        <v>0</v>
      </c>
      <c r="D330" t="s">
        <v>819</v>
      </c>
    </row>
    <row r="331" spans="1:4" x14ac:dyDescent="0.25">
      <c r="A331" s="256" t="str">
        <f>'Budget &amp; Costs'!C143</f>
        <v>Garbage/Trash Removal</v>
      </c>
      <c r="B331" s="256"/>
      <c r="C331" s="312">
        <f>'Budget &amp; Costs'!F143</f>
        <v>0</v>
      </c>
      <c r="D331" t="s">
        <v>819</v>
      </c>
    </row>
    <row r="332" spans="1:4" x14ac:dyDescent="0.25">
      <c r="A332" s="256" t="str">
        <f>'Budget &amp; Costs'!C144</f>
        <v>Van Driver Payroll</v>
      </c>
      <c r="B332" s="256"/>
      <c r="C332" s="312">
        <f>'Budget &amp; Costs'!F144</f>
        <v>0</v>
      </c>
      <c r="D332" t="s">
        <v>819</v>
      </c>
    </row>
    <row r="333" spans="1:4" x14ac:dyDescent="0.25">
      <c r="A333" s="256" t="str">
        <f>'Budget &amp; Costs'!C145</f>
        <v>Janitor Payroll</v>
      </c>
      <c r="B333" s="256"/>
      <c r="C333" s="312">
        <f>'Budget &amp; Costs'!F145</f>
        <v>0</v>
      </c>
      <c r="D333" t="s">
        <v>819</v>
      </c>
    </row>
    <row r="334" spans="1:4" x14ac:dyDescent="0.25">
      <c r="A334" s="256" t="str">
        <f>'Budget &amp; Costs'!C146</f>
        <v>Maintenance Payroll</v>
      </c>
      <c r="B334" s="256"/>
      <c r="C334" s="312">
        <f>'Budget &amp; Costs'!F146</f>
        <v>0</v>
      </c>
      <c r="D334" t="s">
        <v>819</v>
      </c>
    </row>
    <row r="335" spans="1:4" x14ac:dyDescent="0.25">
      <c r="A335" s="256" t="str">
        <f>'Budget &amp; Costs'!C147</f>
        <v>Maintenance Supplies</v>
      </c>
      <c r="B335" s="256"/>
      <c r="C335" s="312">
        <f>'Budget &amp; Costs'!F147</f>
        <v>0</v>
      </c>
      <c r="D335" t="s">
        <v>819</v>
      </c>
    </row>
    <row r="336" spans="1:4" x14ac:dyDescent="0.25">
      <c r="A336" s="256" t="str">
        <f>'Budget &amp; Costs'!C148</f>
        <v>Painting and Decorating</v>
      </c>
      <c r="B336" s="256"/>
      <c r="C336" s="312">
        <f>'Budget &amp; Costs'!F148</f>
        <v>0</v>
      </c>
      <c r="D336" t="s">
        <v>819</v>
      </c>
    </row>
    <row r="337" spans="1:4" x14ac:dyDescent="0.25">
      <c r="A337" s="256" t="str">
        <f>'Budget &amp; Costs'!C149</f>
        <v>HVAC Maintenance</v>
      </c>
      <c r="B337" s="256"/>
      <c r="C337" s="312">
        <f>'Budget &amp; Costs'!F149</f>
        <v>0</v>
      </c>
      <c r="D337" t="s">
        <v>819</v>
      </c>
    </row>
    <row r="338" spans="1:4" x14ac:dyDescent="0.25">
      <c r="A338" s="256" t="str">
        <f>'Budget &amp; Costs'!C150</f>
        <v>Snow Removal/Landscaping</v>
      </c>
      <c r="B338" s="256"/>
      <c r="C338" s="312">
        <f>'Budget &amp; Costs'!F150</f>
        <v>0</v>
      </c>
      <c r="D338" t="s">
        <v>819</v>
      </c>
    </row>
    <row r="339" spans="1:4" x14ac:dyDescent="0.25">
      <c r="A339" s="256" t="str">
        <f>'Budget &amp; Costs'!C151</f>
        <v xml:space="preserve">Vehicle Operation and Repairs </v>
      </c>
      <c r="B339" s="256"/>
      <c r="C339" s="312">
        <f>'Budget &amp; Costs'!F151</f>
        <v>0</v>
      </c>
      <c r="D339" t="s">
        <v>819</v>
      </c>
    </row>
    <row r="340" spans="1:4" x14ac:dyDescent="0.25">
      <c r="A340" s="256" t="str">
        <f>'Budget &amp; Costs'!C152</f>
        <v>Rent Concessions/Incentives</v>
      </c>
      <c r="B340" s="256"/>
      <c r="C340" s="312">
        <f>'Budget &amp; Costs'!F152</f>
        <v>0</v>
      </c>
      <c r="D340" t="s">
        <v>819</v>
      </c>
    </row>
    <row r="341" spans="1:4" x14ac:dyDescent="0.25">
      <c r="A341" s="256" t="str">
        <f>'Budget &amp; Costs'!C153</f>
        <v>Extermination</v>
      </c>
      <c r="B341" s="256"/>
      <c r="C341" s="312">
        <f>'Budget &amp; Costs'!F153</f>
        <v>0</v>
      </c>
      <c r="D341" t="s">
        <v>819</v>
      </c>
    </row>
    <row r="342" spans="1:4" x14ac:dyDescent="0.25">
      <c r="A342" s="256" t="str">
        <f>'Budget &amp; Costs'!C154</f>
        <v>Ops Other 1</v>
      </c>
      <c r="B342" s="256"/>
      <c r="C342" s="312">
        <f>'Budget &amp; Costs'!F154</f>
        <v>0</v>
      </c>
      <c r="D342" t="s">
        <v>819</v>
      </c>
    </row>
    <row r="343" spans="1:4" x14ac:dyDescent="0.25">
      <c r="A343" s="256" t="str">
        <f>'Budget &amp; Costs'!C155</f>
        <v>Ops Other 2</v>
      </c>
      <c r="B343" s="256"/>
      <c r="C343" s="312">
        <f>'Budget &amp; Costs'!F155</f>
        <v>0</v>
      </c>
      <c r="D343" t="s">
        <v>819</v>
      </c>
    </row>
    <row r="344" spans="1:4" x14ac:dyDescent="0.25">
      <c r="A344" s="256" t="str">
        <f>'Budget &amp; Costs'!C156</f>
        <v>Ops Other 3</v>
      </c>
      <c r="B344" s="256"/>
      <c r="C344" s="312">
        <f>'Budget &amp; Costs'!F156</f>
        <v>0</v>
      </c>
      <c r="D344" t="s">
        <v>819</v>
      </c>
    </row>
    <row r="345" spans="1:4" x14ac:dyDescent="0.25">
      <c r="A345" s="256" t="str">
        <f>'Budget &amp; Costs'!C157</f>
        <v>Ops Other 4</v>
      </c>
      <c r="B345" s="256"/>
      <c r="C345" s="312">
        <f>'Budget &amp; Costs'!F157</f>
        <v>0</v>
      </c>
      <c r="D345" t="s">
        <v>819</v>
      </c>
    </row>
    <row r="346" spans="1:4" x14ac:dyDescent="0.25">
      <c r="A346" s="256" t="s">
        <v>1518</v>
      </c>
      <c r="B346" s="256"/>
      <c r="C346" s="312">
        <f>'Budget &amp; Costs'!F158</f>
        <v>0</v>
      </c>
      <c r="D346" t="s">
        <v>819</v>
      </c>
    </row>
    <row r="347" spans="1:4" x14ac:dyDescent="0.25">
      <c r="A347" s="256" t="str">
        <f>'Budget &amp; Costs'!C160</f>
        <v>Real Estate Taxes</v>
      </c>
      <c r="B347" s="256"/>
      <c r="C347" s="312">
        <f>'Budget &amp; Costs'!F160</f>
        <v>0</v>
      </c>
      <c r="D347" t="s">
        <v>819</v>
      </c>
    </row>
    <row r="348" spans="1:4" x14ac:dyDescent="0.25">
      <c r="A348" s="256" t="str">
        <f>'Budget &amp; Costs'!C161</f>
        <v>Payroll Taxes</v>
      </c>
      <c r="B348" s="256"/>
      <c r="C348" s="312">
        <f>'Budget &amp; Costs'!F161</f>
        <v>0</v>
      </c>
      <c r="D348" t="s">
        <v>819</v>
      </c>
    </row>
    <row r="349" spans="1:4" x14ac:dyDescent="0.25">
      <c r="A349" s="256" t="str">
        <f>'Budget &amp; Costs'!C162</f>
        <v>Property/Liability Insurance</v>
      </c>
      <c r="B349" s="256"/>
      <c r="C349" s="312">
        <f>'Budget &amp; Costs'!F162</f>
        <v>0</v>
      </c>
      <c r="D349" t="s">
        <v>819</v>
      </c>
    </row>
    <row r="350" spans="1:4" x14ac:dyDescent="0.25">
      <c r="A350" s="256" t="str">
        <f>'Budget &amp; Costs'!C163</f>
        <v>Fidelity Bond Insurance</v>
      </c>
      <c r="B350" s="256"/>
      <c r="C350" s="312">
        <f>'Budget &amp; Costs'!F163</f>
        <v>0</v>
      </c>
      <c r="D350" t="s">
        <v>819</v>
      </c>
    </row>
    <row r="351" spans="1:4" x14ac:dyDescent="0.25">
      <c r="A351" s="256" t="str">
        <f>'Budget &amp; Costs'!C164</f>
        <v>Workers Compensation</v>
      </c>
      <c r="B351" s="256"/>
      <c r="C351" s="312">
        <f>'Budget &amp; Costs'!F164</f>
        <v>0</v>
      </c>
      <c r="D351" t="s">
        <v>819</v>
      </c>
    </row>
    <row r="352" spans="1:4" x14ac:dyDescent="0.25">
      <c r="A352" s="256" t="str">
        <f>'Budget &amp; Costs'!C165</f>
        <v>Health Insurance/Benefits</v>
      </c>
      <c r="B352" s="256"/>
      <c r="C352" s="312">
        <f>'Budget &amp; Costs'!F165</f>
        <v>0</v>
      </c>
      <c r="D352" t="s">
        <v>819</v>
      </c>
    </row>
    <row r="353" spans="1:4" x14ac:dyDescent="0.25">
      <c r="A353" s="256" t="str">
        <f>'Budget &amp; Costs'!C166</f>
        <v>Misc. Taxes/Insurance/License</v>
      </c>
      <c r="B353" s="256"/>
      <c r="C353" s="312">
        <f>'Budget &amp; Costs'!F166</f>
        <v>0</v>
      </c>
      <c r="D353" t="s">
        <v>819</v>
      </c>
    </row>
    <row r="354" spans="1:4" x14ac:dyDescent="0.25">
      <c r="A354" s="256" t="str">
        <f>'Budget &amp; Costs'!C167</f>
        <v>Tax/Ins Other 1</v>
      </c>
      <c r="B354" s="256"/>
      <c r="C354" s="312">
        <f>'Budget &amp; Costs'!F167</f>
        <v>0</v>
      </c>
      <c r="D354" t="s">
        <v>819</v>
      </c>
    </row>
    <row r="355" spans="1:4" x14ac:dyDescent="0.25">
      <c r="A355" s="256" t="str">
        <f>'Budget &amp; Costs'!C168</f>
        <v>Tax/Ins Other 2</v>
      </c>
      <c r="B355" s="256"/>
      <c r="C355" s="312">
        <f>'Budget &amp; Costs'!F168</f>
        <v>0</v>
      </c>
      <c r="D355" t="s">
        <v>819</v>
      </c>
    </row>
    <row r="356" spans="1:4" x14ac:dyDescent="0.25">
      <c r="A356" s="256" t="str">
        <f>'Budget &amp; Costs'!C169</f>
        <v>Tax/Ins Other 3</v>
      </c>
      <c r="B356" s="256"/>
      <c r="C356" s="312">
        <f>'Budget &amp; Costs'!F169</f>
        <v>0</v>
      </c>
      <c r="D356" t="s">
        <v>819</v>
      </c>
    </row>
    <row r="357" spans="1:4" x14ac:dyDescent="0.25">
      <c r="A357" s="256" t="s">
        <v>1519</v>
      </c>
      <c r="B357" s="256"/>
      <c r="C357" s="312">
        <f>'Budget &amp; Costs'!F170</f>
        <v>0</v>
      </c>
      <c r="D357" t="s">
        <v>819</v>
      </c>
    </row>
    <row r="358" spans="1:4" x14ac:dyDescent="0.25">
      <c r="A358" s="256" t="str">
        <f>'Budget &amp; Costs'!C172</f>
        <v>Replacement Reserves</v>
      </c>
      <c r="B358" s="256"/>
      <c r="C358" s="312">
        <f>'Budget &amp; Costs'!F172</f>
        <v>0</v>
      </c>
      <c r="D358" t="s">
        <v>819</v>
      </c>
    </row>
    <row r="359" spans="1:4" x14ac:dyDescent="0.25">
      <c r="A359" s="256" t="str">
        <f>'Budget &amp; Costs'!C173</f>
        <v>Other 1</v>
      </c>
      <c r="B359" s="256"/>
      <c r="C359" s="312">
        <f>'Budget &amp; Costs'!F173</f>
        <v>0</v>
      </c>
      <c r="D359" t="s">
        <v>819</v>
      </c>
    </row>
    <row r="360" spans="1:4" x14ac:dyDescent="0.25">
      <c r="A360" s="256" t="str">
        <f>'Budget &amp; Costs'!C174</f>
        <v>Other 2</v>
      </c>
      <c r="B360" s="256"/>
      <c r="C360" s="312">
        <f>'Budget &amp; Costs'!F174</f>
        <v>0</v>
      </c>
      <c r="D360" t="s">
        <v>819</v>
      </c>
    </row>
    <row r="361" spans="1:4" x14ac:dyDescent="0.25">
      <c r="A361" s="256" t="str">
        <f>'Budget &amp; Costs'!C175</f>
        <v>Other 3</v>
      </c>
      <c r="B361" s="256"/>
      <c r="C361" s="312">
        <f>'Budget &amp; Costs'!F175</f>
        <v>0</v>
      </c>
      <c r="D361" t="s">
        <v>819</v>
      </c>
    </row>
    <row r="362" spans="1:4" x14ac:dyDescent="0.25">
      <c r="A362" s="256" t="s">
        <v>321</v>
      </c>
      <c r="B362" s="256"/>
      <c r="C362" s="312">
        <f>'Budget &amp; Costs'!F176</f>
        <v>0</v>
      </c>
      <c r="D362" t="s">
        <v>819</v>
      </c>
    </row>
    <row r="363" spans="1:4" x14ac:dyDescent="0.25">
      <c r="A363" s="256" t="s">
        <v>1520</v>
      </c>
      <c r="B363" s="256"/>
      <c r="C363" s="312">
        <f>'Budget &amp; Costs'!F178</f>
        <v>0</v>
      </c>
      <c r="D363" t="s">
        <v>1478</v>
      </c>
    </row>
    <row r="364" spans="1:4" x14ac:dyDescent="0.25">
      <c r="A364" s="256" t="s">
        <v>1521</v>
      </c>
      <c r="B364" s="256"/>
      <c r="C364" s="312" t="e">
        <f>'Budget &amp; Costs'!G178</f>
        <v>#DIV/0!</v>
      </c>
      <c r="D364" t="s">
        <v>1478</v>
      </c>
    </row>
    <row r="365" spans="1:4" x14ac:dyDescent="0.25">
      <c r="A365" s="256" t="s">
        <v>324</v>
      </c>
      <c r="B365" s="256"/>
      <c r="C365" s="312">
        <f>'Budget &amp; Costs'!F180</f>
        <v>0</v>
      </c>
      <c r="D365" t="s">
        <v>1478</v>
      </c>
    </row>
    <row r="366" spans="1:4" x14ac:dyDescent="0.25">
      <c r="A366" s="256" t="s">
        <v>1477</v>
      </c>
      <c r="B366" s="256"/>
      <c r="C366" s="312" t="e">
        <f>'Budget &amp; Costs'!G180</f>
        <v>#DIV/0!</v>
      </c>
      <c r="D366" t="s">
        <v>1478</v>
      </c>
    </row>
    <row r="367" spans="1:4" x14ac:dyDescent="0.25">
      <c r="A367" s="499" t="str">
        <f>LIHTCs!B15</f>
        <v>Boost for QCT/DDA</v>
      </c>
      <c r="B367" s="499"/>
      <c r="C367" s="500" t="str">
        <f>IF(LIHTCs!F15&gt;LIHTCs!F11,"Eligible","Not Eligible")</f>
        <v>Not Eligible</v>
      </c>
      <c r="D367" s="496" t="s">
        <v>1517</v>
      </c>
    </row>
    <row r="368" spans="1:4" x14ac:dyDescent="0.25">
      <c r="A368" s="499" t="str">
        <f>LIHTCs!B16</f>
        <v>Boost for Service Enriched</v>
      </c>
      <c r="B368" s="499"/>
      <c r="C368" s="500" t="str">
        <f>IF(LIHTCs!F16&gt;LIHTCs!F11,"Eligible","Not Eligible")</f>
        <v>Not Eligible</v>
      </c>
      <c r="D368" s="496" t="s">
        <v>1517</v>
      </c>
    </row>
    <row r="369" spans="1:4" x14ac:dyDescent="0.25">
      <c r="A369" s="499" t="str">
        <f>LIHTCs!B17</f>
        <v>Boost for Opportunity</v>
      </c>
      <c r="B369" s="499"/>
      <c r="C369" s="500" t="str">
        <f>IF(LIHTCs!F17&gt;LIHTCs!F11,"Eligible","Not Eligible")</f>
        <v>Not Eligible</v>
      </c>
      <c r="D369" s="496" t="s">
        <v>1517</v>
      </c>
    </row>
    <row r="370" spans="1:4" x14ac:dyDescent="0.25">
      <c r="A370" s="499" t="str">
        <f>LIHTCs!B18</f>
        <v>Boost for ModOpportunity+Change</v>
      </c>
      <c r="B370" s="499"/>
      <c r="C370" s="500" t="str">
        <f>IF(LIHTCs!F18&gt;LIHTCs!F11,"Eligible","Not Eligible")</f>
        <v>Not Eligible</v>
      </c>
      <c r="D370" s="496" t="s">
        <v>1517</v>
      </c>
    </row>
    <row r="371" spans="1:4" x14ac:dyDescent="0.25">
      <c r="A371" s="499" t="str">
        <f>LIHTCs!B19</f>
        <v>Boost for Non-Urban Pools</v>
      </c>
      <c r="B371" s="499"/>
      <c r="C371" s="500" t="str">
        <f>IF(LIHTCs!F19&gt;LIHTCs!F11,"Eligible","Not Eligible")</f>
        <v>Not Eligible</v>
      </c>
      <c r="D371" s="496" t="s">
        <v>1517</v>
      </c>
    </row>
    <row r="372" spans="1:4" x14ac:dyDescent="0.25">
      <c r="A372" s="499" t="str">
        <f>LIHTCs!B20</f>
        <v>Boost for 25% ELI</v>
      </c>
      <c r="B372" s="499"/>
      <c r="C372" s="500" t="str">
        <f>IF(LIHTCs!F20&gt;LIHTCs!F11,"Eligible","Not Eligible")</f>
        <v>Not Eligible</v>
      </c>
      <c r="D372" s="496" t="s">
        <v>1517</v>
      </c>
    </row>
    <row r="373" spans="1:4" x14ac:dyDescent="0.25">
      <c r="A373" s="499" t="str">
        <f>LIHTCs!B21</f>
        <v>Boost for Market &gt;=15%</v>
      </c>
      <c r="B373" s="499"/>
      <c r="C373" s="500" t="str">
        <f>IF(LIHTCs!F21&gt;LIHTCs!F11,"Eligible","Not Eligible")</f>
        <v>Not Eligible</v>
      </c>
      <c r="D373" s="496" t="s">
        <v>1517</v>
      </c>
    </row>
  </sheetData>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U369"/>
  <sheetViews>
    <sheetView workbookViewId="0">
      <selection activeCell="U31" sqref="D23:U31"/>
    </sheetView>
  </sheetViews>
  <sheetFormatPr defaultRowHeight="13.8" x14ac:dyDescent="0.25"/>
  <cols>
    <col min="3" max="3" width="10.69921875" customWidth="1"/>
    <col min="4" max="4" width="10.59765625" customWidth="1"/>
    <col min="5" max="5" width="9.8984375" customWidth="1"/>
    <col min="6" max="6" width="10.19921875" customWidth="1"/>
    <col min="8" max="8" width="2.19921875" customWidth="1"/>
    <col min="11" max="11" width="10.69921875" customWidth="1"/>
    <col min="12" max="12" width="10.59765625" customWidth="1"/>
    <col min="13" max="13" width="9.8984375" customWidth="1"/>
    <col min="14" max="14" width="10.19921875" customWidth="1"/>
  </cols>
  <sheetData>
    <row r="1" spans="1:21" ht="15" customHeight="1" x14ac:dyDescent="0.25">
      <c r="A1" s="898" t="s">
        <v>1551</v>
      </c>
      <c r="B1" s="899"/>
      <c r="C1" s="899"/>
      <c r="D1" s="899"/>
      <c r="E1" s="899"/>
      <c r="F1" s="900"/>
      <c r="G1" s="904" t="s">
        <v>1552</v>
      </c>
      <c r="H1" s="515"/>
      <c r="I1" s="898" t="s">
        <v>1551</v>
      </c>
      <c r="J1" s="899"/>
      <c r="K1" s="899"/>
      <c r="L1" s="899"/>
      <c r="M1" s="899"/>
      <c r="N1" s="900"/>
      <c r="O1" s="904" t="s">
        <v>1552</v>
      </c>
      <c r="P1" s="492"/>
      <c r="Q1" s="516" t="s">
        <v>1569</v>
      </c>
      <c r="R1" s="516"/>
      <c r="S1" s="516" t="s">
        <v>1570</v>
      </c>
      <c r="T1" s="516" t="s">
        <v>1571</v>
      </c>
      <c r="U1" s="516" t="s">
        <v>153</v>
      </c>
    </row>
    <row r="2" spans="1:21" ht="15" customHeight="1" thickBot="1" x14ac:dyDescent="0.3">
      <c r="A2" s="901"/>
      <c r="B2" s="902"/>
      <c r="C2" s="902"/>
      <c r="D2" s="902"/>
      <c r="E2" s="902"/>
      <c r="F2" s="903"/>
      <c r="G2" s="905"/>
      <c r="H2" s="492"/>
      <c r="I2" s="901"/>
      <c r="J2" s="902"/>
      <c r="K2" s="902"/>
      <c r="L2" s="902"/>
      <c r="M2" s="902"/>
      <c r="N2" s="903"/>
      <c r="O2" s="905"/>
      <c r="P2" s="492"/>
      <c r="Q2" s="516"/>
      <c r="R2" s="516" t="s">
        <v>1572</v>
      </c>
      <c r="S2" s="517" t="e">
        <f>G9</f>
        <v>#VALUE!</v>
      </c>
      <c r="T2" s="517" t="e">
        <f>O9</f>
        <v>#VALUE!</v>
      </c>
      <c r="U2" s="517">
        <f>IFERROR(S2+T2,IFERROR(S2,0))</f>
        <v>0</v>
      </c>
    </row>
    <row r="3" spans="1:21" x14ac:dyDescent="0.25">
      <c r="A3" s="911" t="s">
        <v>1553</v>
      </c>
      <c r="B3" s="893"/>
      <c r="C3" s="518" t="str">
        <f>IF(ISNUMBER(SEARCH("mlp",'Budget &amp; Costs'!E240))=TRUE,'Budget &amp; Costs'!G240,"")</f>
        <v/>
      </c>
      <c r="D3" s="892" t="s">
        <v>1554</v>
      </c>
      <c r="E3" s="893"/>
      <c r="F3" s="519" t="e">
        <f>-PMT(C4/12,F4*F6,C3)</f>
        <v>#VALUE!</v>
      </c>
      <c r="G3" s="905"/>
      <c r="H3" s="492"/>
      <c r="I3" s="911" t="s">
        <v>1553</v>
      </c>
      <c r="J3" s="893"/>
      <c r="K3" s="518" t="str">
        <f>IF(ISNUMBER(SEARCH("mlp",'Budget &amp; Costs'!E241))=TRUE,'Budget &amp; Costs'!G241,"")</f>
        <v/>
      </c>
      <c r="L3" s="892" t="s">
        <v>1554</v>
      </c>
      <c r="M3" s="893"/>
      <c r="N3" s="519" t="e">
        <f>-PMT(K4/12,N4*N6,K3)</f>
        <v>#VALUE!</v>
      </c>
      <c r="O3" s="905"/>
      <c r="P3" s="492"/>
      <c r="Q3" s="516"/>
      <c r="R3" s="516" t="s">
        <v>1573</v>
      </c>
      <c r="S3" s="520" t="e">
        <f ca="1">SUM(OFFSET($G$10,(ROW()-2)*12,0,12,1))</f>
        <v>#VALUE!</v>
      </c>
      <c r="T3" s="520" t="e">
        <f ca="1">SUM(OFFSET($O$10,(ROW()-2)*12,0,12,1))</f>
        <v>#VALUE!</v>
      </c>
      <c r="U3" s="517">
        <f t="shared" ref="U3:U18" ca="1" si="0">IFERROR(S3+T3,IFERROR(S3,0))</f>
        <v>0</v>
      </c>
    </row>
    <row r="4" spans="1:21" x14ac:dyDescent="0.25">
      <c r="A4" s="911" t="s">
        <v>1555</v>
      </c>
      <c r="B4" s="893"/>
      <c r="C4" s="521">
        <f>'Budget &amp; Costs'!H240</f>
        <v>0</v>
      </c>
      <c r="D4" s="892" t="s">
        <v>1556</v>
      </c>
      <c r="E4" s="893"/>
      <c r="F4" s="522">
        <v>12</v>
      </c>
      <c r="G4" s="905"/>
      <c r="H4" s="492"/>
      <c r="I4" s="911" t="s">
        <v>1555</v>
      </c>
      <c r="J4" s="893"/>
      <c r="K4" s="521">
        <f>'Budget &amp; Costs'!H241</f>
        <v>0</v>
      </c>
      <c r="L4" s="892" t="s">
        <v>1556</v>
      </c>
      <c r="M4" s="893"/>
      <c r="N4" s="522">
        <v>12</v>
      </c>
      <c r="O4" s="905"/>
      <c r="P4" s="492"/>
      <c r="Q4" s="516"/>
      <c r="R4" s="516" t="s">
        <v>1574</v>
      </c>
      <c r="S4" s="520" t="e">
        <f t="shared" ref="S4:S18" ca="1" si="1">SUM(OFFSET($G$10,(ROW()-2)*12,0,12,1))</f>
        <v>#VALUE!</v>
      </c>
      <c r="T4" s="520" t="e">
        <f t="shared" ref="T4:T16" ca="1" si="2">SUM(OFFSET($O$10,(ROW()-2)*12,0,12,1))</f>
        <v>#VALUE!</v>
      </c>
      <c r="U4" s="517">
        <f t="shared" ca="1" si="0"/>
        <v>0</v>
      </c>
    </row>
    <row r="5" spans="1:21" x14ac:dyDescent="0.25">
      <c r="A5" s="523"/>
      <c r="B5" s="524" t="s">
        <v>1557</v>
      </c>
      <c r="C5" s="518">
        <f>IF(F5&lt;&gt;F6,INDEX(C10:C369,F5*F4,1),0)</f>
        <v>0</v>
      </c>
      <c r="D5" s="892" t="s">
        <v>740</v>
      </c>
      <c r="E5" s="893"/>
      <c r="F5" s="525" t="str">
        <f>IF(ISNUMBER(SEARCH("mlp",'Budget &amp; Costs'!E240))=TRUE,'Budget &amp; Costs'!J240,"")</f>
        <v/>
      </c>
      <c r="G5" s="905"/>
      <c r="H5" s="492"/>
      <c r="I5" s="523"/>
      <c r="J5" s="524" t="s">
        <v>1557</v>
      </c>
      <c r="K5" s="518">
        <f>IF(N5&lt;&gt;N6,INDEX(K10:K370,N5*N4,1),0)</f>
        <v>0</v>
      </c>
      <c r="L5" s="892" t="s">
        <v>740</v>
      </c>
      <c r="M5" s="893"/>
      <c r="N5" s="525" t="str">
        <f>IF(ISNUMBER(SEARCH("mlp",'Budget &amp; Costs'!E241))=TRUE,'Budget &amp; Costs'!J241,"")</f>
        <v/>
      </c>
      <c r="O5" s="905"/>
      <c r="P5" s="492"/>
      <c r="Q5" s="516"/>
      <c r="R5" s="516" t="s">
        <v>1575</v>
      </c>
      <c r="S5" s="520" t="e">
        <f t="shared" ca="1" si="1"/>
        <v>#VALUE!</v>
      </c>
      <c r="T5" s="520" t="e">
        <f t="shared" ca="1" si="2"/>
        <v>#VALUE!</v>
      </c>
      <c r="U5" s="517">
        <f t="shared" ca="1" si="0"/>
        <v>0</v>
      </c>
    </row>
    <row r="6" spans="1:21" ht="14.4" thickBot="1" x14ac:dyDescent="0.3">
      <c r="A6" s="896" t="s">
        <v>1558</v>
      </c>
      <c r="B6" s="897"/>
      <c r="C6" s="526" t="e">
        <f>SUM(E10:(INDEX(E10:E369,F4*F5)))</f>
        <v>#VALUE!</v>
      </c>
      <c r="D6" s="894" t="s">
        <v>1559</v>
      </c>
      <c r="E6" s="895"/>
      <c r="F6" s="527" t="str">
        <f>IF(ISNUMBER(SEARCH("mlp",'Budget &amp; Costs'!E240))=TRUE,'Budget &amp; Costs'!K240,"")</f>
        <v/>
      </c>
      <c r="G6" s="905"/>
      <c r="H6" s="492"/>
      <c r="I6" s="896" t="s">
        <v>1558</v>
      </c>
      <c r="J6" s="897"/>
      <c r="K6" s="526" t="e">
        <f>SUM(M10:(INDEX(M10:M189,N4*N5)))</f>
        <v>#VALUE!</v>
      </c>
      <c r="L6" s="894" t="s">
        <v>1559</v>
      </c>
      <c r="M6" s="895"/>
      <c r="N6" s="527" t="str">
        <f>IF(ISNUMBER(SEARCH("mlp",'Budget &amp; Costs'!E241))=TRUE,'Budget &amp; Costs'!K241,"")</f>
        <v/>
      </c>
      <c r="O6" s="905"/>
      <c r="P6" s="492"/>
      <c r="Q6" s="516"/>
      <c r="R6" s="516" t="s">
        <v>1576</v>
      </c>
      <c r="S6" s="520" t="e">
        <f t="shared" ca="1" si="1"/>
        <v>#VALUE!</v>
      </c>
      <c r="T6" s="520" t="e">
        <f t="shared" ca="1" si="2"/>
        <v>#VALUE!</v>
      </c>
      <c r="U6" s="517">
        <f t="shared" ca="1" si="0"/>
        <v>0</v>
      </c>
    </row>
    <row r="7" spans="1:21" ht="14.4" thickBot="1" x14ac:dyDescent="0.3">
      <c r="A7" s="909" t="s">
        <v>1560</v>
      </c>
      <c r="B7" s="910"/>
      <c r="C7" s="528">
        <v>44299</v>
      </c>
      <c r="D7" s="907" t="s">
        <v>1561</v>
      </c>
      <c r="E7" s="908"/>
      <c r="F7" s="529">
        <v>44348</v>
      </c>
      <c r="G7" s="906"/>
      <c r="H7" s="515"/>
      <c r="I7" s="909" t="s">
        <v>1560</v>
      </c>
      <c r="J7" s="910"/>
      <c r="K7" s="528">
        <v>44299</v>
      </c>
      <c r="L7" s="907" t="s">
        <v>1561</v>
      </c>
      <c r="M7" s="908"/>
      <c r="N7" s="529">
        <v>44348</v>
      </c>
      <c r="O7" s="906"/>
      <c r="P7" s="492"/>
      <c r="Q7" s="516"/>
      <c r="R7" s="516" t="s">
        <v>1577</v>
      </c>
      <c r="S7" s="520" t="e">
        <f t="shared" ca="1" si="1"/>
        <v>#VALUE!</v>
      </c>
      <c r="T7" s="520" t="e">
        <f t="shared" ca="1" si="2"/>
        <v>#VALUE!</v>
      </c>
      <c r="U7" s="517">
        <f t="shared" ca="1" si="0"/>
        <v>0</v>
      </c>
    </row>
    <row r="8" spans="1:21" ht="27" thickBot="1" x14ac:dyDescent="0.3">
      <c r="A8" s="530" t="s">
        <v>1562</v>
      </c>
      <c r="B8" s="531" t="s">
        <v>1563</v>
      </c>
      <c r="C8" s="532" t="s">
        <v>1564</v>
      </c>
      <c r="D8" s="532" t="s">
        <v>1565</v>
      </c>
      <c r="E8" s="532" t="s">
        <v>1566</v>
      </c>
      <c r="F8" s="533" t="s">
        <v>1567</v>
      </c>
      <c r="G8" s="534">
        <v>2.5000000000000001E-3</v>
      </c>
      <c r="H8" s="492"/>
      <c r="I8" s="530" t="s">
        <v>1562</v>
      </c>
      <c r="J8" s="531" t="s">
        <v>1563</v>
      </c>
      <c r="K8" s="532" t="s">
        <v>1564</v>
      </c>
      <c r="L8" s="532" t="s">
        <v>1565</v>
      </c>
      <c r="M8" s="532" t="s">
        <v>1566</v>
      </c>
      <c r="N8" s="533" t="s">
        <v>1567</v>
      </c>
      <c r="O8" s="534">
        <v>2.5000000000000001E-3</v>
      </c>
      <c r="P8" s="492"/>
      <c r="Q8" s="516"/>
      <c r="R8" s="516" t="s">
        <v>1578</v>
      </c>
      <c r="S8" s="520" t="e">
        <f t="shared" ca="1" si="1"/>
        <v>#VALUE!</v>
      </c>
      <c r="T8" s="520" t="e">
        <f t="shared" ca="1" si="2"/>
        <v>#VALUE!</v>
      </c>
      <c r="U8" s="517">
        <f t="shared" ca="1" si="0"/>
        <v>0</v>
      </c>
    </row>
    <row r="9" spans="1:21" x14ac:dyDescent="0.25">
      <c r="A9" s="535" t="s">
        <v>1568</v>
      </c>
      <c r="B9" s="536">
        <v>44299</v>
      </c>
      <c r="C9" s="537" t="str">
        <f>C3</f>
        <v/>
      </c>
      <c r="D9" s="538"/>
      <c r="E9" s="539"/>
      <c r="F9" s="540">
        <v>0</v>
      </c>
      <c r="G9" s="541" t="e">
        <f>$G$8*C9</f>
        <v>#VALUE!</v>
      </c>
      <c r="H9" s="492"/>
      <c r="I9" s="535" t="s">
        <v>1568</v>
      </c>
      <c r="J9" s="536">
        <v>44299</v>
      </c>
      <c r="K9" s="537" t="str">
        <f>K3</f>
        <v/>
      </c>
      <c r="L9" s="538"/>
      <c r="M9" s="539"/>
      <c r="N9" s="540">
        <v>0</v>
      </c>
      <c r="O9" s="541" t="e">
        <f>$G$8*K9</f>
        <v>#VALUE!</v>
      </c>
      <c r="P9" s="492"/>
      <c r="Q9" s="516"/>
      <c r="R9" s="516" t="s">
        <v>1579</v>
      </c>
      <c r="S9" s="520" t="e">
        <f t="shared" ca="1" si="1"/>
        <v>#VALUE!</v>
      </c>
      <c r="T9" s="520" t="e">
        <f t="shared" ca="1" si="2"/>
        <v>#VALUE!</v>
      </c>
      <c r="U9" s="517">
        <f t="shared" ca="1" si="0"/>
        <v>0</v>
      </c>
    </row>
    <row r="10" spans="1:21" x14ac:dyDescent="0.25">
      <c r="A10" s="542">
        <v>1</v>
      </c>
      <c r="B10" s="543">
        <v>44348</v>
      </c>
      <c r="C10" s="544" t="e">
        <f>C9-D10</f>
        <v>#VALUE!</v>
      </c>
      <c r="D10" s="545" t="e">
        <f>-PPMT($C$4/12,A10,$F$4*$F$6,$C$3)</f>
        <v>#VALUE!</v>
      </c>
      <c r="E10" s="545" t="e">
        <f>F10-D10</f>
        <v>#VALUE!</v>
      </c>
      <c r="F10" s="546" t="e">
        <f>$F$3</f>
        <v>#VALUE!</v>
      </c>
      <c r="G10" s="547"/>
      <c r="H10" s="492"/>
      <c r="I10" s="542">
        <v>1</v>
      </c>
      <c r="J10" s="543">
        <v>44348</v>
      </c>
      <c r="K10" s="544" t="e">
        <f>K9-L10</f>
        <v>#VALUE!</v>
      </c>
      <c r="L10" s="545" t="e">
        <f>-PPMT($K$4/12,I10,$N$4*$N$6,$K$3)</f>
        <v>#VALUE!</v>
      </c>
      <c r="M10" s="545" t="e">
        <f>N10-L10</f>
        <v>#VALUE!</v>
      </c>
      <c r="N10" s="546" t="e">
        <f>$N$3</f>
        <v>#VALUE!</v>
      </c>
      <c r="O10" s="547"/>
      <c r="P10" s="492"/>
      <c r="Q10" s="516"/>
      <c r="R10" s="516" t="s">
        <v>1580</v>
      </c>
      <c r="S10" s="520" t="e">
        <f t="shared" ca="1" si="1"/>
        <v>#VALUE!</v>
      </c>
      <c r="T10" s="520" t="e">
        <f t="shared" ca="1" si="2"/>
        <v>#VALUE!</v>
      </c>
      <c r="U10" s="517">
        <f t="shared" ca="1" si="0"/>
        <v>0</v>
      </c>
    </row>
    <row r="11" spans="1:21" x14ac:dyDescent="0.25">
      <c r="A11" s="548">
        <v>2</v>
      </c>
      <c r="B11" s="549">
        <v>44378</v>
      </c>
      <c r="C11" s="544" t="e">
        <f t="shared" ref="C11:C74" si="3">C10-D11</f>
        <v>#VALUE!</v>
      </c>
      <c r="D11" s="545" t="e">
        <f t="shared" ref="D11:D74" si="4">-PPMT($C$4/12,A11,$F$4*$F$6,$C$3)</f>
        <v>#VALUE!</v>
      </c>
      <c r="E11" s="545" t="e">
        <f t="shared" ref="E11:E74" si="5">F11-D11</f>
        <v>#VALUE!</v>
      </c>
      <c r="F11" s="546" t="e">
        <f t="shared" ref="F11:F74" si="6">$F$3</f>
        <v>#VALUE!</v>
      </c>
      <c r="G11" s="547"/>
      <c r="H11" s="492"/>
      <c r="I11" s="548">
        <v>2</v>
      </c>
      <c r="J11" s="549">
        <v>44378</v>
      </c>
      <c r="K11" s="544" t="e">
        <f t="shared" ref="K11:K74" si="7">K10-L11</f>
        <v>#VALUE!</v>
      </c>
      <c r="L11" s="545" t="e">
        <f t="shared" ref="L11:L74" si="8">-PPMT($K$4/12,I11,$N$4*$N$6,$K$3)</f>
        <v>#VALUE!</v>
      </c>
      <c r="M11" s="545" t="e">
        <f t="shared" ref="M11:M74" si="9">N11-L11</f>
        <v>#VALUE!</v>
      </c>
      <c r="N11" s="546" t="e">
        <f t="shared" ref="N11:N74" si="10">$N$3</f>
        <v>#VALUE!</v>
      </c>
      <c r="O11" s="547"/>
      <c r="P11" s="492"/>
      <c r="Q11" s="516"/>
      <c r="R11" s="516" t="s">
        <v>1581</v>
      </c>
      <c r="S11" s="520" t="e">
        <f t="shared" ca="1" si="1"/>
        <v>#VALUE!</v>
      </c>
      <c r="T11" s="520" t="e">
        <f t="shared" ca="1" si="2"/>
        <v>#VALUE!</v>
      </c>
      <c r="U11" s="517">
        <f t="shared" ca="1" si="0"/>
        <v>0</v>
      </c>
    </row>
    <row r="12" spans="1:21" x14ac:dyDescent="0.25">
      <c r="A12" s="548">
        <v>3</v>
      </c>
      <c r="B12" s="549">
        <v>44409</v>
      </c>
      <c r="C12" s="544" t="e">
        <f t="shared" si="3"/>
        <v>#VALUE!</v>
      </c>
      <c r="D12" s="545" t="e">
        <f t="shared" si="4"/>
        <v>#VALUE!</v>
      </c>
      <c r="E12" s="545" t="e">
        <f t="shared" si="5"/>
        <v>#VALUE!</v>
      </c>
      <c r="F12" s="546" t="e">
        <f t="shared" si="6"/>
        <v>#VALUE!</v>
      </c>
      <c r="G12" s="547"/>
      <c r="H12" s="492"/>
      <c r="I12" s="548">
        <v>3</v>
      </c>
      <c r="J12" s="549">
        <v>44409</v>
      </c>
      <c r="K12" s="544" t="e">
        <f t="shared" si="7"/>
        <v>#VALUE!</v>
      </c>
      <c r="L12" s="545" t="e">
        <f t="shared" si="8"/>
        <v>#VALUE!</v>
      </c>
      <c r="M12" s="545" t="e">
        <f t="shared" si="9"/>
        <v>#VALUE!</v>
      </c>
      <c r="N12" s="546" t="e">
        <f t="shared" si="10"/>
        <v>#VALUE!</v>
      </c>
      <c r="O12" s="547"/>
      <c r="P12" s="492"/>
      <c r="Q12" s="516"/>
      <c r="R12" s="516" t="s">
        <v>1582</v>
      </c>
      <c r="S12" s="520" t="e">
        <f t="shared" ca="1" si="1"/>
        <v>#VALUE!</v>
      </c>
      <c r="T12" s="520" t="e">
        <f t="shared" ca="1" si="2"/>
        <v>#VALUE!</v>
      </c>
      <c r="U12" s="517">
        <f t="shared" ca="1" si="0"/>
        <v>0</v>
      </c>
    </row>
    <row r="13" spans="1:21" x14ac:dyDescent="0.25">
      <c r="A13" s="548">
        <v>4</v>
      </c>
      <c r="B13" s="549">
        <v>44440</v>
      </c>
      <c r="C13" s="544" t="e">
        <f t="shared" si="3"/>
        <v>#VALUE!</v>
      </c>
      <c r="D13" s="545" t="e">
        <f t="shared" si="4"/>
        <v>#VALUE!</v>
      </c>
      <c r="E13" s="545" t="e">
        <f t="shared" si="5"/>
        <v>#VALUE!</v>
      </c>
      <c r="F13" s="546" t="e">
        <f t="shared" si="6"/>
        <v>#VALUE!</v>
      </c>
      <c r="G13" s="547"/>
      <c r="H13" s="492"/>
      <c r="I13" s="548">
        <v>4</v>
      </c>
      <c r="J13" s="549">
        <v>44440</v>
      </c>
      <c r="K13" s="544" t="e">
        <f t="shared" si="7"/>
        <v>#VALUE!</v>
      </c>
      <c r="L13" s="545" t="e">
        <f t="shared" si="8"/>
        <v>#VALUE!</v>
      </c>
      <c r="M13" s="545" t="e">
        <f t="shared" si="9"/>
        <v>#VALUE!</v>
      </c>
      <c r="N13" s="546" t="e">
        <f t="shared" si="10"/>
        <v>#VALUE!</v>
      </c>
      <c r="O13" s="547"/>
      <c r="P13" s="492"/>
      <c r="Q13" s="516"/>
      <c r="R13" s="516" t="s">
        <v>1583</v>
      </c>
      <c r="S13" s="520" t="e">
        <f t="shared" ca="1" si="1"/>
        <v>#VALUE!</v>
      </c>
      <c r="T13" s="520" t="e">
        <f t="shared" ca="1" si="2"/>
        <v>#VALUE!</v>
      </c>
      <c r="U13" s="517">
        <f t="shared" ca="1" si="0"/>
        <v>0</v>
      </c>
    </row>
    <row r="14" spans="1:21" x14ac:dyDescent="0.25">
      <c r="A14" s="548">
        <v>5</v>
      </c>
      <c r="B14" s="549">
        <v>44470</v>
      </c>
      <c r="C14" s="544" t="e">
        <f t="shared" si="3"/>
        <v>#VALUE!</v>
      </c>
      <c r="D14" s="545" t="e">
        <f t="shared" si="4"/>
        <v>#VALUE!</v>
      </c>
      <c r="E14" s="545" t="e">
        <f t="shared" si="5"/>
        <v>#VALUE!</v>
      </c>
      <c r="F14" s="546" t="e">
        <f t="shared" si="6"/>
        <v>#VALUE!</v>
      </c>
      <c r="G14" s="547"/>
      <c r="H14" s="492"/>
      <c r="I14" s="548">
        <v>5</v>
      </c>
      <c r="J14" s="549">
        <v>44470</v>
      </c>
      <c r="K14" s="544" t="e">
        <f t="shared" si="7"/>
        <v>#VALUE!</v>
      </c>
      <c r="L14" s="545" t="e">
        <f t="shared" si="8"/>
        <v>#VALUE!</v>
      </c>
      <c r="M14" s="545" t="e">
        <f t="shared" si="9"/>
        <v>#VALUE!</v>
      </c>
      <c r="N14" s="546" t="e">
        <f t="shared" si="10"/>
        <v>#VALUE!</v>
      </c>
      <c r="O14" s="547"/>
      <c r="P14" s="492"/>
      <c r="Q14" s="516"/>
      <c r="R14" s="516" t="s">
        <v>1584</v>
      </c>
      <c r="S14" s="520" t="e">
        <f t="shared" ca="1" si="1"/>
        <v>#VALUE!</v>
      </c>
      <c r="T14" s="520" t="e">
        <f t="shared" ca="1" si="2"/>
        <v>#VALUE!</v>
      </c>
      <c r="U14" s="517">
        <f t="shared" ca="1" si="0"/>
        <v>0</v>
      </c>
    </row>
    <row r="15" spans="1:21" x14ac:dyDescent="0.25">
      <c r="A15" s="548">
        <v>6</v>
      </c>
      <c r="B15" s="549">
        <v>44501</v>
      </c>
      <c r="C15" s="544" t="e">
        <f t="shared" si="3"/>
        <v>#VALUE!</v>
      </c>
      <c r="D15" s="545" t="e">
        <f t="shared" si="4"/>
        <v>#VALUE!</v>
      </c>
      <c r="E15" s="545" t="e">
        <f t="shared" si="5"/>
        <v>#VALUE!</v>
      </c>
      <c r="F15" s="546" t="e">
        <f t="shared" si="6"/>
        <v>#VALUE!</v>
      </c>
      <c r="G15" s="547"/>
      <c r="H15" s="492"/>
      <c r="I15" s="548">
        <v>6</v>
      </c>
      <c r="J15" s="549">
        <v>44501</v>
      </c>
      <c r="K15" s="544" t="e">
        <f t="shared" si="7"/>
        <v>#VALUE!</v>
      </c>
      <c r="L15" s="545" t="e">
        <f t="shared" si="8"/>
        <v>#VALUE!</v>
      </c>
      <c r="M15" s="545" t="e">
        <f t="shared" si="9"/>
        <v>#VALUE!</v>
      </c>
      <c r="N15" s="546" t="e">
        <f t="shared" si="10"/>
        <v>#VALUE!</v>
      </c>
      <c r="O15" s="547"/>
      <c r="P15" s="492"/>
      <c r="Q15" s="516"/>
      <c r="R15" s="516" t="s">
        <v>1585</v>
      </c>
      <c r="S15" s="520" t="e">
        <f t="shared" ca="1" si="1"/>
        <v>#VALUE!</v>
      </c>
      <c r="T15" s="520" t="e">
        <f t="shared" ca="1" si="2"/>
        <v>#VALUE!</v>
      </c>
      <c r="U15" s="517">
        <f t="shared" ca="1" si="0"/>
        <v>0</v>
      </c>
    </row>
    <row r="16" spans="1:21" x14ac:dyDescent="0.25">
      <c r="A16" s="548">
        <v>7</v>
      </c>
      <c r="B16" s="549">
        <v>44531</v>
      </c>
      <c r="C16" s="544" t="e">
        <f t="shared" si="3"/>
        <v>#VALUE!</v>
      </c>
      <c r="D16" s="545" t="e">
        <f t="shared" si="4"/>
        <v>#VALUE!</v>
      </c>
      <c r="E16" s="545" t="e">
        <f t="shared" si="5"/>
        <v>#VALUE!</v>
      </c>
      <c r="F16" s="546" t="e">
        <f t="shared" si="6"/>
        <v>#VALUE!</v>
      </c>
      <c r="G16" s="547"/>
      <c r="H16" s="492"/>
      <c r="I16" s="548">
        <v>7</v>
      </c>
      <c r="J16" s="549">
        <v>44531</v>
      </c>
      <c r="K16" s="544" t="e">
        <f t="shared" si="7"/>
        <v>#VALUE!</v>
      </c>
      <c r="L16" s="545" t="e">
        <f t="shared" si="8"/>
        <v>#VALUE!</v>
      </c>
      <c r="M16" s="545" t="e">
        <f t="shared" si="9"/>
        <v>#VALUE!</v>
      </c>
      <c r="N16" s="546" t="e">
        <f t="shared" si="10"/>
        <v>#VALUE!</v>
      </c>
      <c r="O16" s="547"/>
      <c r="P16" s="492"/>
      <c r="Q16" s="516"/>
      <c r="R16" s="516" t="s">
        <v>1586</v>
      </c>
      <c r="S16" s="520" t="e">
        <f t="shared" ca="1" si="1"/>
        <v>#VALUE!</v>
      </c>
      <c r="T16" s="520" t="e">
        <f t="shared" ca="1" si="2"/>
        <v>#VALUE!</v>
      </c>
      <c r="U16" s="517">
        <f t="shared" ca="1" si="0"/>
        <v>0</v>
      </c>
    </row>
    <row r="17" spans="1:21" x14ac:dyDescent="0.25">
      <c r="A17" s="548">
        <v>8</v>
      </c>
      <c r="B17" s="549">
        <v>44562</v>
      </c>
      <c r="C17" s="544" t="e">
        <f t="shared" si="3"/>
        <v>#VALUE!</v>
      </c>
      <c r="D17" s="545" t="e">
        <f t="shared" si="4"/>
        <v>#VALUE!</v>
      </c>
      <c r="E17" s="545" t="e">
        <f t="shared" si="5"/>
        <v>#VALUE!</v>
      </c>
      <c r="F17" s="546" t="e">
        <f t="shared" si="6"/>
        <v>#VALUE!</v>
      </c>
      <c r="G17" s="547"/>
      <c r="H17" s="492"/>
      <c r="I17" s="548">
        <v>8</v>
      </c>
      <c r="J17" s="549">
        <v>44562</v>
      </c>
      <c r="K17" s="544" t="e">
        <f t="shared" si="7"/>
        <v>#VALUE!</v>
      </c>
      <c r="L17" s="545" t="e">
        <f t="shared" si="8"/>
        <v>#VALUE!</v>
      </c>
      <c r="M17" s="545" t="e">
        <f t="shared" si="9"/>
        <v>#VALUE!</v>
      </c>
      <c r="N17" s="546" t="e">
        <f t="shared" si="10"/>
        <v>#VALUE!</v>
      </c>
      <c r="O17" s="547"/>
      <c r="P17" s="492"/>
      <c r="Q17" s="492"/>
      <c r="R17" s="516" t="s">
        <v>1587</v>
      </c>
      <c r="S17" s="520" t="e">
        <f t="shared" ca="1" si="1"/>
        <v>#VALUE!</v>
      </c>
      <c r="T17" s="520"/>
      <c r="U17" s="517">
        <f t="shared" ca="1" si="0"/>
        <v>0</v>
      </c>
    </row>
    <row r="18" spans="1:21" x14ac:dyDescent="0.25">
      <c r="A18" s="548">
        <v>9</v>
      </c>
      <c r="B18" s="549">
        <v>44593</v>
      </c>
      <c r="C18" s="544" t="e">
        <f t="shared" si="3"/>
        <v>#VALUE!</v>
      </c>
      <c r="D18" s="545" t="e">
        <f t="shared" si="4"/>
        <v>#VALUE!</v>
      </c>
      <c r="E18" s="545" t="e">
        <f t="shared" si="5"/>
        <v>#VALUE!</v>
      </c>
      <c r="F18" s="546" t="e">
        <f t="shared" si="6"/>
        <v>#VALUE!</v>
      </c>
      <c r="G18" s="547"/>
      <c r="H18" s="492"/>
      <c r="I18" s="548">
        <v>9</v>
      </c>
      <c r="J18" s="549">
        <v>44593</v>
      </c>
      <c r="K18" s="544" t="e">
        <f t="shared" si="7"/>
        <v>#VALUE!</v>
      </c>
      <c r="L18" s="545" t="e">
        <f t="shared" si="8"/>
        <v>#VALUE!</v>
      </c>
      <c r="M18" s="545" t="e">
        <f t="shared" si="9"/>
        <v>#VALUE!</v>
      </c>
      <c r="N18" s="546" t="e">
        <f t="shared" si="10"/>
        <v>#VALUE!</v>
      </c>
      <c r="O18" s="547"/>
      <c r="P18" s="492"/>
      <c r="Q18" s="492"/>
      <c r="R18" s="516" t="s">
        <v>1588</v>
      </c>
      <c r="S18" s="520" t="e">
        <f t="shared" ca="1" si="1"/>
        <v>#VALUE!</v>
      </c>
      <c r="T18" s="520"/>
      <c r="U18" s="517">
        <f t="shared" ca="1" si="0"/>
        <v>0</v>
      </c>
    </row>
    <row r="19" spans="1:21" x14ac:dyDescent="0.25">
      <c r="A19" s="548">
        <v>10</v>
      </c>
      <c r="B19" s="549">
        <v>44621</v>
      </c>
      <c r="C19" s="544" t="e">
        <f t="shared" si="3"/>
        <v>#VALUE!</v>
      </c>
      <c r="D19" s="545" t="e">
        <f t="shared" si="4"/>
        <v>#VALUE!</v>
      </c>
      <c r="E19" s="545" t="e">
        <f t="shared" si="5"/>
        <v>#VALUE!</v>
      </c>
      <c r="F19" s="546" t="e">
        <f t="shared" si="6"/>
        <v>#VALUE!</v>
      </c>
      <c r="G19" s="547"/>
      <c r="H19" s="492"/>
      <c r="I19" s="548">
        <v>10</v>
      </c>
      <c r="J19" s="549">
        <v>44621</v>
      </c>
      <c r="K19" s="544" t="e">
        <f t="shared" si="7"/>
        <v>#VALUE!</v>
      </c>
      <c r="L19" s="545" t="e">
        <f t="shared" si="8"/>
        <v>#VALUE!</v>
      </c>
      <c r="M19" s="545" t="e">
        <f t="shared" si="9"/>
        <v>#VALUE!</v>
      </c>
      <c r="N19" s="546" t="e">
        <f t="shared" si="10"/>
        <v>#VALUE!</v>
      </c>
      <c r="O19" s="547"/>
      <c r="P19" s="492"/>
      <c r="Q19" s="492"/>
      <c r="R19" s="492"/>
      <c r="S19" s="492"/>
      <c r="T19" s="492"/>
      <c r="U19" s="492"/>
    </row>
    <row r="20" spans="1:21" x14ac:dyDescent="0.25">
      <c r="A20" s="548">
        <v>11</v>
      </c>
      <c r="B20" s="549">
        <v>44652</v>
      </c>
      <c r="C20" s="544" t="e">
        <f t="shared" si="3"/>
        <v>#VALUE!</v>
      </c>
      <c r="D20" s="545" t="e">
        <f t="shared" si="4"/>
        <v>#VALUE!</v>
      </c>
      <c r="E20" s="545" t="e">
        <f t="shared" si="5"/>
        <v>#VALUE!</v>
      </c>
      <c r="F20" s="546" t="e">
        <f t="shared" si="6"/>
        <v>#VALUE!</v>
      </c>
      <c r="G20" s="547"/>
      <c r="H20" s="492"/>
      <c r="I20" s="548">
        <v>11</v>
      </c>
      <c r="J20" s="549">
        <v>44652</v>
      </c>
      <c r="K20" s="544" t="e">
        <f t="shared" si="7"/>
        <v>#VALUE!</v>
      </c>
      <c r="L20" s="545" t="e">
        <f t="shared" si="8"/>
        <v>#VALUE!</v>
      </c>
      <c r="M20" s="545" t="e">
        <f t="shared" si="9"/>
        <v>#VALUE!</v>
      </c>
      <c r="N20" s="546" t="e">
        <f t="shared" si="10"/>
        <v>#VALUE!</v>
      </c>
      <c r="O20" s="547"/>
      <c r="P20" s="492"/>
      <c r="Q20" s="492"/>
      <c r="R20" s="492"/>
      <c r="S20" s="492"/>
      <c r="T20" s="492"/>
      <c r="U20" s="492"/>
    </row>
    <row r="21" spans="1:21" ht="14.4" thickBot="1" x14ac:dyDescent="0.3">
      <c r="A21" s="550">
        <v>12</v>
      </c>
      <c r="B21" s="551">
        <v>44682</v>
      </c>
      <c r="C21" s="552" t="e">
        <f t="shared" si="3"/>
        <v>#VALUE!</v>
      </c>
      <c r="D21" s="553" t="e">
        <f t="shared" si="4"/>
        <v>#VALUE!</v>
      </c>
      <c r="E21" s="553" t="e">
        <f t="shared" si="5"/>
        <v>#VALUE!</v>
      </c>
      <c r="F21" s="554" t="e">
        <f t="shared" si="6"/>
        <v>#VALUE!</v>
      </c>
      <c r="G21" s="555"/>
      <c r="H21" s="492"/>
      <c r="I21" s="550">
        <v>12</v>
      </c>
      <c r="J21" s="551">
        <v>44682</v>
      </c>
      <c r="K21" s="552" t="e">
        <f t="shared" si="7"/>
        <v>#VALUE!</v>
      </c>
      <c r="L21" s="553" t="e">
        <f t="shared" si="8"/>
        <v>#VALUE!</v>
      </c>
      <c r="M21" s="553" t="e">
        <f t="shared" si="9"/>
        <v>#VALUE!</v>
      </c>
      <c r="N21" s="554" t="e">
        <f t="shared" si="10"/>
        <v>#VALUE!</v>
      </c>
      <c r="O21" s="555"/>
      <c r="P21" s="492"/>
      <c r="Q21" s="492"/>
      <c r="R21" s="492"/>
      <c r="S21" s="492"/>
      <c r="T21" s="492"/>
      <c r="U21" s="492"/>
    </row>
    <row r="22" spans="1:21" x14ac:dyDescent="0.25">
      <c r="A22" s="548">
        <v>13</v>
      </c>
      <c r="B22" s="549">
        <v>44713</v>
      </c>
      <c r="C22" s="556" t="e">
        <f t="shared" si="3"/>
        <v>#VALUE!</v>
      </c>
      <c r="D22" s="557" t="e">
        <f t="shared" si="4"/>
        <v>#VALUE!</v>
      </c>
      <c r="E22" s="557" t="e">
        <f t="shared" si="5"/>
        <v>#VALUE!</v>
      </c>
      <c r="F22" s="558" t="e">
        <f t="shared" si="6"/>
        <v>#VALUE!</v>
      </c>
      <c r="G22" s="567" t="e">
        <f>$G$8*AVERAGE(C22:C33)</f>
        <v>#VALUE!</v>
      </c>
      <c r="H22" s="492"/>
      <c r="I22" s="548">
        <v>13</v>
      </c>
      <c r="J22" s="549">
        <v>44713</v>
      </c>
      <c r="K22" s="556" t="e">
        <f t="shared" si="7"/>
        <v>#VALUE!</v>
      </c>
      <c r="L22" s="557" t="e">
        <f t="shared" si="8"/>
        <v>#VALUE!</v>
      </c>
      <c r="M22" s="557" t="e">
        <f t="shared" si="9"/>
        <v>#VALUE!</v>
      </c>
      <c r="N22" s="558" t="e">
        <f t="shared" si="10"/>
        <v>#VALUE!</v>
      </c>
      <c r="O22" s="567" t="e">
        <f>$G$8*AVERAGE(K22:K33)</f>
        <v>#VALUE!</v>
      </c>
      <c r="P22" s="492"/>
      <c r="Q22" s="492"/>
      <c r="R22" s="492"/>
      <c r="S22" s="492"/>
      <c r="T22" s="492"/>
      <c r="U22" s="492"/>
    </row>
    <row r="23" spans="1:21" x14ac:dyDescent="0.25">
      <c r="A23" s="548">
        <v>14</v>
      </c>
      <c r="B23" s="549">
        <v>44743</v>
      </c>
      <c r="C23" s="544" t="e">
        <f t="shared" si="3"/>
        <v>#VALUE!</v>
      </c>
      <c r="D23" s="545" t="e">
        <f t="shared" si="4"/>
        <v>#VALUE!</v>
      </c>
      <c r="E23" s="545" t="e">
        <f t="shared" si="5"/>
        <v>#VALUE!</v>
      </c>
      <c r="F23" s="546" t="e">
        <f t="shared" si="6"/>
        <v>#VALUE!</v>
      </c>
      <c r="G23" s="547"/>
      <c r="H23" s="492"/>
      <c r="I23" s="548">
        <v>14</v>
      </c>
      <c r="J23" s="549">
        <v>44743</v>
      </c>
      <c r="K23" s="544" t="e">
        <f t="shared" si="7"/>
        <v>#VALUE!</v>
      </c>
      <c r="L23" s="545" t="e">
        <f t="shared" si="8"/>
        <v>#VALUE!</v>
      </c>
      <c r="M23" s="545" t="e">
        <f t="shared" si="9"/>
        <v>#VALUE!</v>
      </c>
      <c r="N23" s="546" t="e">
        <f t="shared" si="10"/>
        <v>#VALUE!</v>
      </c>
      <c r="O23" s="547"/>
      <c r="P23" s="492"/>
      <c r="Q23" s="492"/>
      <c r="R23" s="492"/>
      <c r="S23" s="492"/>
      <c r="T23" s="492"/>
      <c r="U23" s="492"/>
    </row>
    <row r="24" spans="1:21" x14ac:dyDescent="0.25">
      <c r="A24" s="548">
        <v>15</v>
      </c>
      <c r="B24" s="549">
        <v>44774</v>
      </c>
      <c r="C24" s="544" t="e">
        <f t="shared" si="3"/>
        <v>#VALUE!</v>
      </c>
      <c r="D24" s="545" t="e">
        <f t="shared" si="4"/>
        <v>#VALUE!</v>
      </c>
      <c r="E24" s="545" t="e">
        <f t="shared" si="5"/>
        <v>#VALUE!</v>
      </c>
      <c r="F24" s="546" t="e">
        <f t="shared" si="6"/>
        <v>#VALUE!</v>
      </c>
      <c r="G24" s="547"/>
      <c r="H24" s="492"/>
      <c r="I24" s="548">
        <v>15</v>
      </c>
      <c r="J24" s="549">
        <v>44774</v>
      </c>
      <c r="K24" s="544" t="e">
        <f t="shared" si="7"/>
        <v>#VALUE!</v>
      </c>
      <c r="L24" s="545" t="e">
        <f t="shared" si="8"/>
        <v>#VALUE!</v>
      </c>
      <c r="M24" s="545" t="e">
        <f t="shared" si="9"/>
        <v>#VALUE!</v>
      </c>
      <c r="N24" s="546" t="e">
        <f t="shared" si="10"/>
        <v>#VALUE!</v>
      </c>
      <c r="O24" s="547"/>
      <c r="P24" s="492"/>
      <c r="Q24" s="492"/>
      <c r="R24" s="492"/>
      <c r="S24" s="492"/>
      <c r="T24" s="492"/>
      <c r="U24" s="492"/>
    </row>
    <row r="25" spans="1:21" x14ac:dyDescent="0.25">
      <c r="A25" s="548">
        <v>16</v>
      </c>
      <c r="B25" s="549">
        <v>44805</v>
      </c>
      <c r="C25" s="544" t="e">
        <f t="shared" si="3"/>
        <v>#VALUE!</v>
      </c>
      <c r="D25" s="545" t="e">
        <f t="shared" si="4"/>
        <v>#VALUE!</v>
      </c>
      <c r="E25" s="545" t="e">
        <f t="shared" si="5"/>
        <v>#VALUE!</v>
      </c>
      <c r="F25" s="546" t="e">
        <f t="shared" si="6"/>
        <v>#VALUE!</v>
      </c>
      <c r="G25" s="547"/>
      <c r="H25" s="492"/>
      <c r="I25" s="548">
        <v>16</v>
      </c>
      <c r="J25" s="549">
        <v>44805</v>
      </c>
      <c r="K25" s="544" t="e">
        <f t="shared" si="7"/>
        <v>#VALUE!</v>
      </c>
      <c r="L25" s="545" t="e">
        <f t="shared" si="8"/>
        <v>#VALUE!</v>
      </c>
      <c r="M25" s="545" t="e">
        <f t="shared" si="9"/>
        <v>#VALUE!</v>
      </c>
      <c r="N25" s="546" t="e">
        <f t="shared" si="10"/>
        <v>#VALUE!</v>
      </c>
      <c r="O25" s="547"/>
      <c r="P25" s="492"/>
      <c r="Q25" s="492"/>
      <c r="R25" s="492"/>
      <c r="S25" s="492"/>
      <c r="T25" s="492"/>
      <c r="U25" s="492"/>
    </row>
    <row r="26" spans="1:21" x14ac:dyDescent="0.25">
      <c r="A26" s="548">
        <v>17</v>
      </c>
      <c r="B26" s="549">
        <v>44835</v>
      </c>
      <c r="C26" s="544" t="e">
        <f t="shared" si="3"/>
        <v>#VALUE!</v>
      </c>
      <c r="D26" s="545" t="e">
        <f t="shared" si="4"/>
        <v>#VALUE!</v>
      </c>
      <c r="E26" s="545" t="e">
        <f t="shared" si="5"/>
        <v>#VALUE!</v>
      </c>
      <c r="F26" s="546" t="e">
        <f t="shared" si="6"/>
        <v>#VALUE!</v>
      </c>
      <c r="G26" s="547"/>
      <c r="H26" s="492"/>
      <c r="I26" s="548">
        <v>17</v>
      </c>
      <c r="J26" s="549">
        <v>44835</v>
      </c>
      <c r="K26" s="544" t="e">
        <f t="shared" si="7"/>
        <v>#VALUE!</v>
      </c>
      <c r="L26" s="545" t="e">
        <f t="shared" si="8"/>
        <v>#VALUE!</v>
      </c>
      <c r="M26" s="545" t="e">
        <f t="shared" si="9"/>
        <v>#VALUE!</v>
      </c>
      <c r="N26" s="546" t="e">
        <f t="shared" si="10"/>
        <v>#VALUE!</v>
      </c>
      <c r="O26" s="547"/>
      <c r="P26" s="492"/>
      <c r="Q26" s="492"/>
      <c r="R26" s="492"/>
      <c r="S26" s="492"/>
      <c r="T26" s="492"/>
      <c r="U26" s="492"/>
    </row>
    <row r="27" spans="1:21" x14ac:dyDescent="0.25">
      <c r="A27" s="548">
        <v>18</v>
      </c>
      <c r="B27" s="549">
        <v>44866</v>
      </c>
      <c r="C27" s="544" t="e">
        <f t="shared" si="3"/>
        <v>#VALUE!</v>
      </c>
      <c r="D27" s="545" t="e">
        <f t="shared" si="4"/>
        <v>#VALUE!</v>
      </c>
      <c r="E27" s="545" t="e">
        <f t="shared" si="5"/>
        <v>#VALUE!</v>
      </c>
      <c r="F27" s="546" t="e">
        <f t="shared" si="6"/>
        <v>#VALUE!</v>
      </c>
      <c r="G27" s="547"/>
      <c r="H27" s="492"/>
      <c r="I27" s="548">
        <v>18</v>
      </c>
      <c r="J27" s="549">
        <v>44866</v>
      </c>
      <c r="K27" s="544" t="e">
        <f t="shared" si="7"/>
        <v>#VALUE!</v>
      </c>
      <c r="L27" s="545" t="e">
        <f t="shared" si="8"/>
        <v>#VALUE!</v>
      </c>
      <c r="M27" s="545" t="e">
        <f t="shared" si="9"/>
        <v>#VALUE!</v>
      </c>
      <c r="N27" s="546" t="e">
        <f t="shared" si="10"/>
        <v>#VALUE!</v>
      </c>
      <c r="O27" s="547"/>
      <c r="P27" s="492"/>
      <c r="Q27" s="492"/>
      <c r="R27" s="492"/>
      <c r="S27" s="492"/>
      <c r="T27" s="492"/>
      <c r="U27" s="492"/>
    </row>
    <row r="28" spans="1:21" x14ac:dyDescent="0.25">
      <c r="A28" s="548">
        <v>19</v>
      </c>
      <c r="B28" s="549">
        <v>44896</v>
      </c>
      <c r="C28" s="544" t="e">
        <f t="shared" si="3"/>
        <v>#VALUE!</v>
      </c>
      <c r="D28" s="545" t="e">
        <f t="shared" si="4"/>
        <v>#VALUE!</v>
      </c>
      <c r="E28" s="545" t="e">
        <f t="shared" si="5"/>
        <v>#VALUE!</v>
      </c>
      <c r="F28" s="546" t="e">
        <f t="shared" si="6"/>
        <v>#VALUE!</v>
      </c>
      <c r="G28" s="547"/>
      <c r="H28" s="492"/>
      <c r="I28" s="548">
        <v>19</v>
      </c>
      <c r="J28" s="549">
        <v>44896</v>
      </c>
      <c r="K28" s="544" t="e">
        <f t="shared" si="7"/>
        <v>#VALUE!</v>
      </c>
      <c r="L28" s="545" t="e">
        <f t="shared" si="8"/>
        <v>#VALUE!</v>
      </c>
      <c r="M28" s="545" t="e">
        <f t="shared" si="9"/>
        <v>#VALUE!</v>
      </c>
      <c r="N28" s="546" t="e">
        <f t="shared" si="10"/>
        <v>#VALUE!</v>
      </c>
      <c r="O28" s="547"/>
      <c r="P28" s="492"/>
      <c r="Q28" s="492"/>
      <c r="R28" s="492"/>
      <c r="S28" s="492"/>
      <c r="T28" s="492"/>
      <c r="U28" s="492"/>
    </row>
    <row r="29" spans="1:21" x14ac:dyDescent="0.25">
      <c r="A29" s="548">
        <v>20</v>
      </c>
      <c r="B29" s="549">
        <v>44927</v>
      </c>
      <c r="C29" s="544" t="e">
        <f t="shared" si="3"/>
        <v>#VALUE!</v>
      </c>
      <c r="D29" s="545" t="e">
        <f t="shared" si="4"/>
        <v>#VALUE!</v>
      </c>
      <c r="E29" s="545" t="e">
        <f t="shared" si="5"/>
        <v>#VALUE!</v>
      </c>
      <c r="F29" s="546" t="e">
        <f t="shared" si="6"/>
        <v>#VALUE!</v>
      </c>
      <c r="G29" s="547"/>
      <c r="H29" s="492"/>
      <c r="I29" s="548">
        <v>20</v>
      </c>
      <c r="J29" s="549">
        <v>44927</v>
      </c>
      <c r="K29" s="544" t="e">
        <f t="shared" si="7"/>
        <v>#VALUE!</v>
      </c>
      <c r="L29" s="545" t="e">
        <f t="shared" si="8"/>
        <v>#VALUE!</v>
      </c>
      <c r="M29" s="545" t="e">
        <f t="shared" si="9"/>
        <v>#VALUE!</v>
      </c>
      <c r="N29" s="546" t="e">
        <f t="shared" si="10"/>
        <v>#VALUE!</v>
      </c>
      <c r="O29" s="547"/>
      <c r="P29" s="492"/>
      <c r="Q29" s="492"/>
      <c r="R29" s="492"/>
      <c r="S29" s="492"/>
      <c r="T29" s="492"/>
      <c r="U29" s="492"/>
    </row>
    <row r="30" spans="1:21" x14ac:dyDescent="0.25">
      <c r="A30" s="548">
        <v>21</v>
      </c>
      <c r="B30" s="549">
        <v>44958</v>
      </c>
      <c r="C30" s="544" t="e">
        <f t="shared" si="3"/>
        <v>#VALUE!</v>
      </c>
      <c r="D30" s="545" t="e">
        <f t="shared" si="4"/>
        <v>#VALUE!</v>
      </c>
      <c r="E30" s="545" t="e">
        <f t="shared" si="5"/>
        <v>#VALUE!</v>
      </c>
      <c r="F30" s="546" t="e">
        <f t="shared" si="6"/>
        <v>#VALUE!</v>
      </c>
      <c r="G30" s="547"/>
      <c r="H30" s="492"/>
      <c r="I30" s="548">
        <v>21</v>
      </c>
      <c r="J30" s="549">
        <v>44958</v>
      </c>
      <c r="K30" s="544" t="e">
        <f t="shared" si="7"/>
        <v>#VALUE!</v>
      </c>
      <c r="L30" s="545" t="e">
        <f t="shared" si="8"/>
        <v>#VALUE!</v>
      </c>
      <c r="M30" s="545" t="e">
        <f t="shared" si="9"/>
        <v>#VALUE!</v>
      </c>
      <c r="N30" s="546" t="e">
        <f t="shared" si="10"/>
        <v>#VALUE!</v>
      </c>
      <c r="O30" s="547"/>
      <c r="P30" s="492"/>
      <c r="Q30" s="492"/>
      <c r="R30" s="492"/>
      <c r="S30" s="492"/>
      <c r="T30" s="492"/>
      <c r="U30" s="492"/>
    </row>
    <row r="31" spans="1:21" x14ac:dyDescent="0.25">
      <c r="A31" s="548">
        <v>22</v>
      </c>
      <c r="B31" s="549">
        <v>44986</v>
      </c>
      <c r="C31" s="544" t="e">
        <f t="shared" si="3"/>
        <v>#VALUE!</v>
      </c>
      <c r="D31" s="545" t="e">
        <f t="shared" si="4"/>
        <v>#VALUE!</v>
      </c>
      <c r="E31" s="545" t="e">
        <f t="shared" si="5"/>
        <v>#VALUE!</v>
      </c>
      <c r="F31" s="546" t="e">
        <f t="shared" si="6"/>
        <v>#VALUE!</v>
      </c>
      <c r="G31" s="547"/>
      <c r="H31" s="492"/>
      <c r="I31" s="548">
        <v>22</v>
      </c>
      <c r="J31" s="549">
        <v>44986</v>
      </c>
      <c r="K31" s="544" t="e">
        <f t="shared" si="7"/>
        <v>#VALUE!</v>
      </c>
      <c r="L31" s="545" t="e">
        <f t="shared" si="8"/>
        <v>#VALUE!</v>
      </c>
      <c r="M31" s="545" t="e">
        <f t="shared" si="9"/>
        <v>#VALUE!</v>
      </c>
      <c r="N31" s="546" t="e">
        <f t="shared" si="10"/>
        <v>#VALUE!</v>
      </c>
      <c r="O31" s="547"/>
      <c r="P31" s="492"/>
      <c r="Q31" s="492"/>
      <c r="R31" s="492"/>
      <c r="S31" s="492"/>
      <c r="T31" s="492"/>
      <c r="U31" s="492"/>
    </row>
    <row r="32" spans="1:21" x14ac:dyDescent="0.25">
      <c r="A32" s="548">
        <v>23</v>
      </c>
      <c r="B32" s="549">
        <v>45017</v>
      </c>
      <c r="C32" s="544" t="e">
        <f t="shared" si="3"/>
        <v>#VALUE!</v>
      </c>
      <c r="D32" s="545" t="e">
        <f t="shared" si="4"/>
        <v>#VALUE!</v>
      </c>
      <c r="E32" s="545" t="e">
        <f t="shared" si="5"/>
        <v>#VALUE!</v>
      </c>
      <c r="F32" s="546" t="e">
        <f t="shared" si="6"/>
        <v>#VALUE!</v>
      </c>
      <c r="G32" s="547"/>
      <c r="H32" s="492"/>
      <c r="I32" s="548">
        <v>23</v>
      </c>
      <c r="J32" s="549">
        <v>45017</v>
      </c>
      <c r="K32" s="544" t="e">
        <f t="shared" si="7"/>
        <v>#VALUE!</v>
      </c>
      <c r="L32" s="545" t="e">
        <f t="shared" si="8"/>
        <v>#VALUE!</v>
      </c>
      <c r="M32" s="545" t="e">
        <f t="shared" si="9"/>
        <v>#VALUE!</v>
      </c>
      <c r="N32" s="546" t="e">
        <f t="shared" si="10"/>
        <v>#VALUE!</v>
      </c>
      <c r="O32" s="547"/>
      <c r="P32" s="492"/>
      <c r="Q32" s="492"/>
      <c r="R32" s="492"/>
      <c r="S32" s="492"/>
      <c r="T32" s="492"/>
      <c r="U32" s="492"/>
    </row>
    <row r="33" spans="1:15" ht="14.4" thickBot="1" x14ac:dyDescent="0.3">
      <c r="A33" s="548">
        <v>24</v>
      </c>
      <c r="B33" s="549">
        <v>45047</v>
      </c>
      <c r="C33" s="559" t="e">
        <f t="shared" si="3"/>
        <v>#VALUE!</v>
      </c>
      <c r="D33" s="560" t="e">
        <f t="shared" si="4"/>
        <v>#VALUE!</v>
      </c>
      <c r="E33" s="560" t="e">
        <f t="shared" si="5"/>
        <v>#VALUE!</v>
      </c>
      <c r="F33" s="561" t="e">
        <f t="shared" si="6"/>
        <v>#VALUE!</v>
      </c>
      <c r="G33" s="547"/>
      <c r="H33" s="492"/>
      <c r="I33" s="548">
        <v>24</v>
      </c>
      <c r="J33" s="549">
        <v>45047</v>
      </c>
      <c r="K33" s="559" t="e">
        <f t="shared" si="7"/>
        <v>#VALUE!</v>
      </c>
      <c r="L33" s="560" t="e">
        <f t="shared" si="8"/>
        <v>#VALUE!</v>
      </c>
      <c r="M33" s="560" t="e">
        <f t="shared" si="9"/>
        <v>#VALUE!</v>
      </c>
      <c r="N33" s="561" t="e">
        <f t="shared" si="10"/>
        <v>#VALUE!</v>
      </c>
      <c r="O33" s="547"/>
    </row>
    <row r="34" spans="1:15" x14ac:dyDescent="0.25">
      <c r="A34" s="562">
        <v>25</v>
      </c>
      <c r="B34" s="563">
        <v>45078</v>
      </c>
      <c r="C34" s="564" t="e">
        <f t="shared" si="3"/>
        <v>#VALUE!</v>
      </c>
      <c r="D34" s="565" t="e">
        <f t="shared" si="4"/>
        <v>#VALUE!</v>
      </c>
      <c r="E34" s="565" t="e">
        <f t="shared" si="5"/>
        <v>#VALUE!</v>
      </c>
      <c r="F34" s="566" t="e">
        <f t="shared" si="6"/>
        <v>#VALUE!</v>
      </c>
      <c r="G34" s="567" t="e">
        <f>$G$8*AVERAGE(C34:C45)</f>
        <v>#VALUE!</v>
      </c>
      <c r="H34" s="492"/>
      <c r="I34" s="562">
        <v>25</v>
      </c>
      <c r="J34" s="563">
        <v>45078</v>
      </c>
      <c r="K34" s="564" t="e">
        <f t="shared" si="7"/>
        <v>#VALUE!</v>
      </c>
      <c r="L34" s="565" t="e">
        <f t="shared" si="8"/>
        <v>#VALUE!</v>
      </c>
      <c r="M34" s="565" t="e">
        <f t="shared" si="9"/>
        <v>#VALUE!</v>
      </c>
      <c r="N34" s="566" t="e">
        <f t="shared" si="10"/>
        <v>#VALUE!</v>
      </c>
      <c r="O34" s="567" t="e">
        <f>$G$8*AVERAGE(K34:K45)</f>
        <v>#VALUE!</v>
      </c>
    </row>
    <row r="35" spans="1:15" x14ac:dyDescent="0.25">
      <c r="A35" s="548">
        <v>26</v>
      </c>
      <c r="B35" s="549">
        <v>45108</v>
      </c>
      <c r="C35" s="544" t="e">
        <f t="shared" si="3"/>
        <v>#VALUE!</v>
      </c>
      <c r="D35" s="545" t="e">
        <f t="shared" si="4"/>
        <v>#VALUE!</v>
      </c>
      <c r="E35" s="545" t="e">
        <f t="shared" si="5"/>
        <v>#VALUE!</v>
      </c>
      <c r="F35" s="546" t="e">
        <f t="shared" si="6"/>
        <v>#VALUE!</v>
      </c>
      <c r="G35" s="547"/>
      <c r="H35" s="492"/>
      <c r="I35" s="548">
        <v>26</v>
      </c>
      <c r="J35" s="549">
        <v>45108</v>
      </c>
      <c r="K35" s="544" t="e">
        <f t="shared" si="7"/>
        <v>#VALUE!</v>
      </c>
      <c r="L35" s="545" t="e">
        <f t="shared" si="8"/>
        <v>#VALUE!</v>
      </c>
      <c r="M35" s="545" t="e">
        <f t="shared" si="9"/>
        <v>#VALUE!</v>
      </c>
      <c r="N35" s="546" t="e">
        <f t="shared" si="10"/>
        <v>#VALUE!</v>
      </c>
      <c r="O35" s="547"/>
    </row>
    <row r="36" spans="1:15" x14ac:dyDescent="0.25">
      <c r="A36" s="548">
        <v>27</v>
      </c>
      <c r="B36" s="549">
        <v>45139</v>
      </c>
      <c r="C36" s="544" t="e">
        <f t="shared" si="3"/>
        <v>#VALUE!</v>
      </c>
      <c r="D36" s="545" t="e">
        <f t="shared" si="4"/>
        <v>#VALUE!</v>
      </c>
      <c r="E36" s="545" t="e">
        <f t="shared" si="5"/>
        <v>#VALUE!</v>
      </c>
      <c r="F36" s="546" t="e">
        <f t="shared" si="6"/>
        <v>#VALUE!</v>
      </c>
      <c r="G36" s="547"/>
      <c r="H36" s="492"/>
      <c r="I36" s="548">
        <v>27</v>
      </c>
      <c r="J36" s="549">
        <v>45139</v>
      </c>
      <c r="K36" s="544" t="e">
        <f t="shared" si="7"/>
        <v>#VALUE!</v>
      </c>
      <c r="L36" s="545" t="e">
        <f t="shared" si="8"/>
        <v>#VALUE!</v>
      </c>
      <c r="M36" s="545" t="e">
        <f t="shared" si="9"/>
        <v>#VALUE!</v>
      </c>
      <c r="N36" s="546" t="e">
        <f t="shared" si="10"/>
        <v>#VALUE!</v>
      </c>
      <c r="O36" s="547"/>
    </row>
    <row r="37" spans="1:15" x14ac:dyDescent="0.25">
      <c r="A37" s="548">
        <v>28</v>
      </c>
      <c r="B37" s="549">
        <v>45170</v>
      </c>
      <c r="C37" s="544" t="e">
        <f t="shared" si="3"/>
        <v>#VALUE!</v>
      </c>
      <c r="D37" s="545" t="e">
        <f t="shared" si="4"/>
        <v>#VALUE!</v>
      </c>
      <c r="E37" s="545" t="e">
        <f t="shared" si="5"/>
        <v>#VALUE!</v>
      </c>
      <c r="F37" s="546" t="e">
        <f t="shared" si="6"/>
        <v>#VALUE!</v>
      </c>
      <c r="G37" s="547"/>
      <c r="H37" s="492"/>
      <c r="I37" s="548">
        <v>28</v>
      </c>
      <c r="J37" s="549">
        <v>45170</v>
      </c>
      <c r="K37" s="544" t="e">
        <f t="shared" si="7"/>
        <v>#VALUE!</v>
      </c>
      <c r="L37" s="545" t="e">
        <f t="shared" si="8"/>
        <v>#VALUE!</v>
      </c>
      <c r="M37" s="545" t="e">
        <f t="shared" si="9"/>
        <v>#VALUE!</v>
      </c>
      <c r="N37" s="546" t="e">
        <f t="shared" si="10"/>
        <v>#VALUE!</v>
      </c>
      <c r="O37" s="547"/>
    </row>
    <row r="38" spans="1:15" x14ac:dyDescent="0.25">
      <c r="A38" s="548">
        <v>29</v>
      </c>
      <c r="B38" s="549">
        <v>45200</v>
      </c>
      <c r="C38" s="544" t="e">
        <f t="shared" si="3"/>
        <v>#VALUE!</v>
      </c>
      <c r="D38" s="545" t="e">
        <f t="shared" si="4"/>
        <v>#VALUE!</v>
      </c>
      <c r="E38" s="545" t="e">
        <f t="shared" si="5"/>
        <v>#VALUE!</v>
      </c>
      <c r="F38" s="546" t="e">
        <f t="shared" si="6"/>
        <v>#VALUE!</v>
      </c>
      <c r="G38" s="547"/>
      <c r="H38" s="492"/>
      <c r="I38" s="548">
        <v>29</v>
      </c>
      <c r="J38" s="549">
        <v>45200</v>
      </c>
      <c r="K38" s="544" t="e">
        <f t="shared" si="7"/>
        <v>#VALUE!</v>
      </c>
      <c r="L38" s="545" t="e">
        <f t="shared" si="8"/>
        <v>#VALUE!</v>
      </c>
      <c r="M38" s="545" t="e">
        <f t="shared" si="9"/>
        <v>#VALUE!</v>
      </c>
      <c r="N38" s="546" t="e">
        <f t="shared" si="10"/>
        <v>#VALUE!</v>
      </c>
      <c r="O38" s="547"/>
    </row>
    <row r="39" spans="1:15" x14ac:dyDescent="0.25">
      <c r="A39" s="548">
        <v>30</v>
      </c>
      <c r="B39" s="549">
        <v>45231</v>
      </c>
      <c r="C39" s="544" t="e">
        <f t="shared" si="3"/>
        <v>#VALUE!</v>
      </c>
      <c r="D39" s="545" t="e">
        <f t="shared" si="4"/>
        <v>#VALUE!</v>
      </c>
      <c r="E39" s="545" t="e">
        <f t="shared" si="5"/>
        <v>#VALUE!</v>
      </c>
      <c r="F39" s="546" t="e">
        <f t="shared" si="6"/>
        <v>#VALUE!</v>
      </c>
      <c r="G39" s="547"/>
      <c r="H39" s="492"/>
      <c r="I39" s="548">
        <v>30</v>
      </c>
      <c r="J39" s="549">
        <v>45231</v>
      </c>
      <c r="K39" s="544" t="e">
        <f t="shared" si="7"/>
        <v>#VALUE!</v>
      </c>
      <c r="L39" s="545" t="e">
        <f t="shared" si="8"/>
        <v>#VALUE!</v>
      </c>
      <c r="M39" s="545" t="e">
        <f t="shared" si="9"/>
        <v>#VALUE!</v>
      </c>
      <c r="N39" s="546" t="e">
        <f t="shared" si="10"/>
        <v>#VALUE!</v>
      </c>
      <c r="O39" s="547"/>
    </row>
    <row r="40" spans="1:15" x14ac:dyDescent="0.25">
      <c r="A40" s="548">
        <v>31</v>
      </c>
      <c r="B40" s="549">
        <v>45261</v>
      </c>
      <c r="C40" s="544" t="e">
        <f t="shared" si="3"/>
        <v>#VALUE!</v>
      </c>
      <c r="D40" s="545" t="e">
        <f t="shared" si="4"/>
        <v>#VALUE!</v>
      </c>
      <c r="E40" s="545" t="e">
        <f t="shared" si="5"/>
        <v>#VALUE!</v>
      </c>
      <c r="F40" s="546" t="e">
        <f t="shared" si="6"/>
        <v>#VALUE!</v>
      </c>
      <c r="G40" s="547"/>
      <c r="H40" s="492"/>
      <c r="I40" s="548">
        <v>31</v>
      </c>
      <c r="J40" s="549">
        <v>45261</v>
      </c>
      <c r="K40" s="544" t="e">
        <f t="shared" si="7"/>
        <v>#VALUE!</v>
      </c>
      <c r="L40" s="545" t="e">
        <f t="shared" si="8"/>
        <v>#VALUE!</v>
      </c>
      <c r="M40" s="545" t="e">
        <f t="shared" si="9"/>
        <v>#VALUE!</v>
      </c>
      <c r="N40" s="546" t="e">
        <f t="shared" si="10"/>
        <v>#VALUE!</v>
      </c>
      <c r="O40" s="547"/>
    </row>
    <row r="41" spans="1:15" x14ac:dyDescent="0.25">
      <c r="A41" s="548">
        <v>32</v>
      </c>
      <c r="B41" s="549">
        <v>45292</v>
      </c>
      <c r="C41" s="544" t="e">
        <f t="shared" si="3"/>
        <v>#VALUE!</v>
      </c>
      <c r="D41" s="545" t="e">
        <f t="shared" si="4"/>
        <v>#VALUE!</v>
      </c>
      <c r="E41" s="545" t="e">
        <f t="shared" si="5"/>
        <v>#VALUE!</v>
      </c>
      <c r="F41" s="546" t="e">
        <f t="shared" si="6"/>
        <v>#VALUE!</v>
      </c>
      <c r="G41" s="547"/>
      <c r="H41" s="492"/>
      <c r="I41" s="548">
        <v>32</v>
      </c>
      <c r="J41" s="549">
        <v>45292</v>
      </c>
      <c r="K41" s="544" t="e">
        <f t="shared" si="7"/>
        <v>#VALUE!</v>
      </c>
      <c r="L41" s="545" t="e">
        <f t="shared" si="8"/>
        <v>#VALUE!</v>
      </c>
      <c r="M41" s="545" t="e">
        <f t="shared" si="9"/>
        <v>#VALUE!</v>
      </c>
      <c r="N41" s="546" t="e">
        <f t="shared" si="10"/>
        <v>#VALUE!</v>
      </c>
      <c r="O41" s="547"/>
    </row>
    <row r="42" spans="1:15" x14ac:dyDescent="0.25">
      <c r="A42" s="548">
        <v>33</v>
      </c>
      <c r="B42" s="549">
        <v>45323</v>
      </c>
      <c r="C42" s="544" t="e">
        <f t="shared" si="3"/>
        <v>#VALUE!</v>
      </c>
      <c r="D42" s="545" t="e">
        <f t="shared" si="4"/>
        <v>#VALUE!</v>
      </c>
      <c r="E42" s="545" t="e">
        <f t="shared" si="5"/>
        <v>#VALUE!</v>
      </c>
      <c r="F42" s="546" t="e">
        <f t="shared" si="6"/>
        <v>#VALUE!</v>
      </c>
      <c r="G42" s="547"/>
      <c r="H42" s="492"/>
      <c r="I42" s="548">
        <v>33</v>
      </c>
      <c r="J42" s="549">
        <v>45323</v>
      </c>
      <c r="K42" s="544" t="e">
        <f t="shared" si="7"/>
        <v>#VALUE!</v>
      </c>
      <c r="L42" s="545" t="e">
        <f t="shared" si="8"/>
        <v>#VALUE!</v>
      </c>
      <c r="M42" s="545" t="e">
        <f t="shared" si="9"/>
        <v>#VALUE!</v>
      </c>
      <c r="N42" s="546" t="e">
        <f t="shared" si="10"/>
        <v>#VALUE!</v>
      </c>
      <c r="O42" s="547"/>
    </row>
    <row r="43" spans="1:15" x14ac:dyDescent="0.25">
      <c r="A43" s="548">
        <v>34</v>
      </c>
      <c r="B43" s="549">
        <v>45352</v>
      </c>
      <c r="C43" s="544" t="e">
        <f t="shared" si="3"/>
        <v>#VALUE!</v>
      </c>
      <c r="D43" s="545" t="e">
        <f t="shared" si="4"/>
        <v>#VALUE!</v>
      </c>
      <c r="E43" s="545" t="e">
        <f t="shared" si="5"/>
        <v>#VALUE!</v>
      </c>
      <c r="F43" s="546" t="e">
        <f t="shared" si="6"/>
        <v>#VALUE!</v>
      </c>
      <c r="G43" s="547"/>
      <c r="H43" s="492"/>
      <c r="I43" s="548">
        <v>34</v>
      </c>
      <c r="J43" s="549">
        <v>45352</v>
      </c>
      <c r="K43" s="544" t="e">
        <f t="shared" si="7"/>
        <v>#VALUE!</v>
      </c>
      <c r="L43" s="545" t="e">
        <f t="shared" si="8"/>
        <v>#VALUE!</v>
      </c>
      <c r="M43" s="545" t="e">
        <f t="shared" si="9"/>
        <v>#VALUE!</v>
      </c>
      <c r="N43" s="546" t="e">
        <f t="shared" si="10"/>
        <v>#VALUE!</v>
      </c>
      <c r="O43" s="547"/>
    </row>
    <row r="44" spans="1:15" x14ac:dyDescent="0.25">
      <c r="A44" s="548">
        <v>35</v>
      </c>
      <c r="B44" s="549">
        <v>45383</v>
      </c>
      <c r="C44" s="544" t="e">
        <f t="shared" si="3"/>
        <v>#VALUE!</v>
      </c>
      <c r="D44" s="545" t="e">
        <f t="shared" si="4"/>
        <v>#VALUE!</v>
      </c>
      <c r="E44" s="545" t="e">
        <f t="shared" si="5"/>
        <v>#VALUE!</v>
      </c>
      <c r="F44" s="546" t="e">
        <f t="shared" si="6"/>
        <v>#VALUE!</v>
      </c>
      <c r="G44" s="547"/>
      <c r="H44" s="492"/>
      <c r="I44" s="548">
        <v>35</v>
      </c>
      <c r="J44" s="549">
        <v>45383</v>
      </c>
      <c r="K44" s="544" t="e">
        <f t="shared" si="7"/>
        <v>#VALUE!</v>
      </c>
      <c r="L44" s="545" t="e">
        <f t="shared" si="8"/>
        <v>#VALUE!</v>
      </c>
      <c r="M44" s="545" t="e">
        <f t="shared" si="9"/>
        <v>#VALUE!</v>
      </c>
      <c r="N44" s="546" t="e">
        <f t="shared" si="10"/>
        <v>#VALUE!</v>
      </c>
      <c r="O44" s="547"/>
    </row>
    <row r="45" spans="1:15" ht="14.4" thickBot="1" x14ac:dyDescent="0.3">
      <c r="A45" s="550">
        <v>36</v>
      </c>
      <c r="B45" s="551">
        <v>45413</v>
      </c>
      <c r="C45" s="552" t="e">
        <f t="shared" si="3"/>
        <v>#VALUE!</v>
      </c>
      <c r="D45" s="553" t="e">
        <f t="shared" si="4"/>
        <v>#VALUE!</v>
      </c>
      <c r="E45" s="553" t="e">
        <f t="shared" si="5"/>
        <v>#VALUE!</v>
      </c>
      <c r="F45" s="554" t="e">
        <f t="shared" si="6"/>
        <v>#VALUE!</v>
      </c>
      <c r="G45" s="555"/>
      <c r="H45" s="492"/>
      <c r="I45" s="550">
        <v>36</v>
      </c>
      <c r="J45" s="551">
        <v>45413</v>
      </c>
      <c r="K45" s="552" t="e">
        <f t="shared" si="7"/>
        <v>#VALUE!</v>
      </c>
      <c r="L45" s="553" t="e">
        <f t="shared" si="8"/>
        <v>#VALUE!</v>
      </c>
      <c r="M45" s="553" t="e">
        <f t="shared" si="9"/>
        <v>#VALUE!</v>
      </c>
      <c r="N45" s="554" t="e">
        <f t="shared" si="10"/>
        <v>#VALUE!</v>
      </c>
      <c r="O45" s="555"/>
    </row>
    <row r="46" spans="1:15" x14ac:dyDescent="0.25">
      <c r="A46" s="548">
        <v>37</v>
      </c>
      <c r="B46" s="549">
        <v>45444</v>
      </c>
      <c r="C46" s="556" t="e">
        <f t="shared" si="3"/>
        <v>#VALUE!</v>
      </c>
      <c r="D46" s="557" t="e">
        <f t="shared" si="4"/>
        <v>#VALUE!</v>
      </c>
      <c r="E46" s="557" t="e">
        <f t="shared" si="5"/>
        <v>#VALUE!</v>
      </c>
      <c r="F46" s="558" t="e">
        <f t="shared" si="6"/>
        <v>#VALUE!</v>
      </c>
      <c r="G46" s="567" t="e">
        <f>$G$8*AVERAGE(C46:C57)</f>
        <v>#VALUE!</v>
      </c>
      <c r="H46" s="492"/>
      <c r="I46" s="548">
        <v>37</v>
      </c>
      <c r="J46" s="549">
        <v>45444</v>
      </c>
      <c r="K46" s="556" t="e">
        <f t="shared" si="7"/>
        <v>#VALUE!</v>
      </c>
      <c r="L46" s="557" t="e">
        <f t="shared" si="8"/>
        <v>#VALUE!</v>
      </c>
      <c r="M46" s="557" t="e">
        <f t="shared" si="9"/>
        <v>#VALUE!</v>
      </c>
      <c r="N46" s="558" t="e">
        <f t="shared" si="10"/>
        <v>#VALUE!</v>
      </c>
      <c r="O46" s="567" t="e">
        <f>$G$8*AVERAGE(K46:K57)</f>
        <v>#VALUE!</v>
      </c>
    </row>
    <row r="47" spans="1:15" x14ac:dyDescent="0.25">
      <c r="A47" s="548">
        <v>38</v>
      </c>
      <c r="B47" s="549">
        <v>45474</v>
      </c>
      <c r="C47" s="544" t="e">
        <f t="shared" si="3"/>
        <v>#VALUE!</v>
      </c>
      <c r="D47" s="545" t="e">
        <f t="shared" si="4"/>
        <v>#VALUE!</v>
      </c>
      <c r="E47" s="545" t="e">
        <f t="shared" si="5"/>
        <v>#VALUE!</v>
      </c>
      <c r="F47" s="546" t="e">
        <f t="shared" si="6"/>
        <v>#VALUE!</v>
      </c>
      <c r="G47" s="547"/>
      <c r="H47" s="492"/>
      <c r="I47" s="548">
        <v>38</v>
      </c>
      <c r="J47" s="549">
        <v>45474</v>
      </c>
      <c r="K47" s="544" t="e">
        <f t="shared" si="7"/>
        <v>#VALUE!</v>
      </c>
      <c r="L47" s="545" t="e">
        <f t="shared" si="8"/>
        <v>#VALUE!</v>
      </c>
      <c r="M47" s="545" t="e">
        <f t="shared" si="9"/>
        <v>#VALUE!</v>
      </c>
      <c r="N47" s="546" t="e">
        <f t="shared" si="10"/>
        <v>#VALUE!</v>
      </c>
      <c r="O47" s="547"/>
    </row>
    <row r="48" spans="1:15" x14ac:dyDescent="0.25">
      <c r="A48" s="548">
        <v>39</v>
      </c>
      <c r="B48" s="549">
        <v>45505</v>
      </c>
      <c r="C48" s="544" t="e">
        <f t="shared" si="3"/>
        <v>#VALUE!</v>
      </c>
      <c r="D48" s="545" t="e">
        <f t="shared" si="4"/>
        <v>#VALUE!</v>
      </c>
      <c r="E48" s="545" t="e">
        <f t="shared" si="5"/>
        <v>#VALUE!</v>
      </c>
      <c r="F48" s="546" t="e">
        <f t="shared" si="6"/>
        <v>#VALUE!</v>
      </c>
      <c r="G48" s="547"/>
      <c r="H48" s="492"/>
      <c r="I48" s="548">
        <v>39</v>
      </c>
      <c r="J48" s="549">
        <v>45505</v>
      </c>
      <c r="K48" s="544" t="e">
        <f t="shared" si="7"/>
        <v>#VALUE!</v>
      </c>
      <c r="L48" s="545" t="e">
        <f t="shared" si="8"/>
        <v>#VALUE!</v>
      </c>
      <c r="M48" s="545" t="e">
        <f t="shared" si="9"/>
        <v>#VALUE!</v>
      </c>
      <c r="N48" s="546" t="e">
        <f t="shared" si="10"/>
        <v>#VALUE!</v>
      </c>
      <c r="O48" s="547"/>
    </row>
    <row r="49" spans="1:15" x14ac:dyDescent="0.25">
      <c r="A49" s="548">
        <v>40</v>
      </c>
      <c r="B49" s="549">
        <v>45536</v>
      </c>
      <c r="C49" s="544" t="e">
        <f t="shared" si="3"/>
        <v>#VALUE!</v>
      </c>
      <c r="D49" s="545" t="e">
        <f t="shared" si="4"/>
        <v>#VALUE!</v>
      </c>
      <c r="E49" s="545" t="e">
        <f t="shared" si="5"/>
        <v>#VALUE!</v>
      </c>
      <c r="F49" s="546" t="e">
        <f t="shared" si="6"/>
        <v>#VALUE!</v>
      </c>
      <c r="G49" s="547"/>
      <c r="H49" s="492"/>
      <c r="I49" s="548">
        <v>40</v>
      </c>
      <c r="J49" s="549">
        <v>45536</v>
      </c>
      <c r="K49" s="544" t="e">
        <f t="shared" si="7"/>
        <v>#VALUE!</v>
      </c>
      <c r="L49" s="545" t="e">
        <f t="shared" si="8"/>
        <v>#VALUE!</v>
      </c>
      <c r="M49" s="545" t="e">
        <f t="shared" si="9"/>
        <v>#VALUE!</v>
      </c>
      <c r="N49" s="546" t="e">
        <f t="shared" si="10"/>
        <v>#VALUE!</v>
      </c>
      <c r="O49" s="547"/>
    </row>
    <row r="50" spans="1:15" x14ac:dyDescent="0.25">
      <c r="A50" s="548">
        <v>41</v>
      </c>
      <c r="B50" s="549">
        <v>45566</v>
      </c>
      <c r="C50" s="544" t="e">
        <f t="shared" si="3"/>
        <v>#VALUE!</v>
      </c>
      <c r="D50" s="545" t="e">
        <f t="shared" si="4"/>
        <v>#VALUE!</v>
      </c>
      <c r="E50" s="545" t="e">
        <f t="shared" si="5"/>
        <v>#VALUE!</v>
      </c>
      <c r="F50" s="546" t="e">
        <f t="shared" si="6"/>
        <v>#VALUE!</v>
      </c>
      <c r="G50" s="547"/>
      <c r="H50" s="492"/>
      <c r="I50" s="548">
        <v>41</v>
      </c>
      <c r="J50" s="549">
        <v>45566</v>
      </c>
      <c r="K50" s="544" t="e">
        <f t="shared" si="7"/>
        <v>#VALUE!</v>
      </c>
      <c r="L50" s="545" t="e">
        <f t="shared" si="8"/>
        <v>#VALUE!</v>
      </c>
      <c r="M50" s="545" t="e">
        <f t="shared" si="9"/>
        <v>#VALUE!</v>
      </c>
      <c r="N50" s="546" t="e">
        <f t="shared" si="10"/>
        <v>#VALUE!</v>
      </c>
      <c r="O50" s="547"/>
    </row>
    <row r="51" spans="1:15" x14ac:dyDescent="0.25">
      <c r="A51" s="548">
        <v>42</v>
      </c>
      <c r="B51" s="549">
        <v>45597</v>
      </c>
      <c r="C51" s="544" t="e">
        <f t="shared" si="3"/>
        <v>#VALUE!</v>
      </c>
      <c r="D51" s="545" t="e">
        <f t="shared" si="4"/>
        <v>#VALUE!</v>
      </c>
      <c r="E51" s="545" t="e">
        <f t="shared" si="5"/>
        <v>#VALUE!</v>
      </c>
      <c r="F51" s="546" t="e">
        <f t="shared" si="6"/>
        <v>#VALUE!</v>
      </c>
      <c r="G51" s="547"/>
      <c r="H51" s="492"/>
      <c r="I51" s="548">
        <v>42</v>
      </c>
      <c r="J51" s="549">
        <v>45597</v>
      </c>
      <c r="K51" s="544" t="e">
        <f t="shared" si="7"/>
        <v>#VALUE!</v>
      </c>
      <c r="L51" s="545" t="e">
        <f t="shared" si="8"/>
        <v>#VALUE!</v>
      </c>
      <c r="M51" s="545" t="e">
        <f t="shared" si="9"/>
        <v>#VALUE!</v>
      </c>
      <c r="N51" s="546" t="e">
        <f t="shared" si="10"/>
        <v>#VALUE!</v>
      </c>
      <c r="O51" s="547"/>
    </row>
    <row r="52" spans="1:15" x14ac:dyDescent="0.25">
      <c r="A52" s="548">
        <v>43</v>
      </c>
      <c r="B52" s="549">
        <v>45627</v>
      </c>
      <c r="C52" s="544" t="e">
        <f t="shared" si="3"/>
        <v>#VALUE!</v>
      </c>
      <c r="D52" s="545" t="e">
        <f t="shared" si="4"/>
        <v>#VALUE!</v>
      </c>
      <c r="E52" s="545" t="e">
        <f t="shared" si="5"/>
        <v>#VALUE!</v>
      </c>
      <c r="F52" s="546" t="e">
        <f t="shared" si="6"/>
        <v>#VALUE!</v>
      </c>
      <c r="G52" s="547"/>
      <c r="H52" s="492"/>
      <c r="I52" s="548">
        <v>43</v>
      </c>
      <c r="J52" s="549">
        <v>45627</v>
      </c>
      <c r="K52" s="544" t="e">
        <f t="shared" si="7"/>
        <v>#VALUE!</v>
      </c>
      <c r="L52" s="545" t="e">
        <f t="shared" si="8"/>
        <v>#VALUE!</v>
      </c>
      <c r="M52" s="545" t="e">
        <f t="shared" si="9"/>
        <v>#VALUE!</v>
      </c>
      <c r="N52" s="546" t="e">
        <f t="shared" si="10"/>
        <v>#VALUE!</v>
      </c>
      <c r="O52" s="547"/>
    </row>
    <row r="53" spans="1:15" x14ac:dyDescent="0.25">
      <c r="A53" s="548">
        <v>44</v>
      </c>
      <c r="B53" s="549">
        <v>45658</v>
      </c>
      <c r="C53" s="544" t="e">
        <f t="shared" si="3"/>
        <v>#VALUE!</v>
      </c>
      <c r="D53" s="545" t="e">
        <f t="shared" si="4"/>
        <v>#VALUE!</v>
      </c>
      <c r="E53" s="545" t="e">
        <f t="shared" si="5"/>
        <v>#VALUE!</v>
      </c>
      <c r="F53" s="546" t="e">
        <f t="shared" si="6"/>
        <v>#VALUE!</v>
      </c>
      <c r="G53" s="547"/>
      <c r="H53" s="492"/>
      <c r="I53" s="548">
        <v>44</v>
      </c>
      <c r="J53" s="549">
        <v>45658</v>
      </c>
      <c r="K53" s="544" t="e">
        <f t="shared" si="7"/>
        <v>#VALUE!</v>
      </c>
      <c r="L53" s="545" t="e">
        <f t="shared" si="8"/>
        <v>#VALUE!</v>
      </c>
      <c r="M53" s="545" t="e">
        <f t="shared" si="9"/>
        <v>#VALUE!</v>
      </c>
      <c r="N53" s="546" t="e">
        <f t="shared" si="10"/>
        <v>#VALUE!</v>
      </c>
      <c r="O53" s="547"/>
    </row>
    <row r="54" spans="1:15" x14ac:dyDescent="0.25">
      <c r="A54" s="548">
        <v>45</v>
      </c>
      <c r="B54" s="549">
        <v>45689</v>
      </c>
      <c r="C54" s="544" t="e">
        <f t="shared" si="3"/>
        <v>#VALUE!</v>
      </c>
      <c r="D54" s="545" t="e">
        <f t="shared" si="4"/>
        <v>#VALUE!</v>
      </c>
      <c r="E54" s="545" t="e">
        <f t="shared" si="5"/>
        <v>#VALUE!</v>
      </c>
      <c r="F54" s="546" t="e">
        <f t="shared" si="6"/>
        <v>#VALUE!</v>
      </c>
      <c r="G54" s="547"/>
      <c r="H54" s="492"/>
      <c r="I54" s="548">
        <v>45</v>
      </c>
      <c r="J54" s="549">
        <v>45689</v>
      </c>
      <c r="K54" s="544" t="e">
        <f t="shared" si="7"/>
        <v>#VALUE!</v>
      </c>
      <c r="L54" s="545" t="e">
        <f t="shared" si="8"/>
        <v>#VALUE!</v>
      </c>
      <c r="M54" s="545" t="e">
        <f t="shared" si="9"/>
        <v>#VALUE!</v>
      </c>
      <c r="N54" s="546" t="e">
        <f t="shared" si="10"/>
        <v>#VALUE!</v>
      </c>
      <c r="O54" s="547"/>
    </row>
    <row r="55" spans="1:15" x14ac:dyDescent="0.25">
      <c r="A55" s="548">
        <v>46</v>
      </c>
      <c r="B55" s="549">
        <v>45717</v>
      </c>
      <c r="C55" s="544" t="e">
        <f t="shared" si="3"/>
        <v>#VALUE!</v>
      </c>
      <c r="D55" s="545" t="e">
        <f t="shared" si="4"/>
        <v>#VALUE!</v>
      </c>
      <c r="E55" s="545" t="e">
        <f t="shared" si="5"/>
        <v>#VALUE!</v>
      </c>
      <c r="F55" s="546" t="e">
        <f t="shared" si="6"/>
        <v>#VALUE!</v>
      </c>
      <c r="G55" s="547"/>
      <c r="H55" s="492"/>
      <c r="I55" s="548">
        <v>46</v>
      </c>
      <c r="J55" s="549">
        <v>45717</v>
      </c>
      <c r="K55" s="544" t="e">
        <f t="shared" si="7"/>
        <v>#VALUE!</v>
      </c>
      <c r="L55" s="545" t="e">
        <f t="shared" si="8"/>
        <v>#VALUE!</v>
      </c>
      <c r="M55" s="545" t="e">
        <f t="shared" si="9"/>
        <v>#VALUE!</v>
      </c>
      <c r="N55" s="546" t="e">
        <f t="shared" si="10"/>
        <v>#VALUE!</v>
      </c>
      <c r="O55" s="547"/>
    </row>
    <row r="56" spans="1:15" x14ac:dyDescent="0.25">
      <c r="A56" s="548">
        <v>47</v>
      </c>
      <c r="B56" s="549">
        <v>45748</v>
      </c>
      <c r="C56" s="544" t="e">
        <f t="shared" si="3"/>
        <v>#VALUE!</v>
      </c>
      <c r="D56" s="545" t="e">
        <f t="shared" si="4"/>
        <v>#VALUE!</v>
      </c>
      <c r="E56" s="545" t="e">
        <f t="shared" si="5"/>
        <v>#VALUE!</v>
      </c>
      <c r="F56" s="546" t="e">
        <f t="shared" si="6"/>
        <v>#VALUE!</v>
      </c>
      <c r="G56" s="547"/>
      <c r="H56" s="492"/>
      <c r="I56" s="548">
        <v>47</v>
      </c>
      <c r="J56" s="549">
        <v>45748</v>
      </c>
      <c r="K56" s="544" t="e">
        <f t="shared" si="7"/>
        <v>#VALUE!</v>
      </c>
      <c r="L56" s="545" t="e">
        <f t="shared" si="8"/>
        <v>#VALUE!</v>
      </c>
      <c r="M56" s="545" t="e">
        <f t="shared" si="9"/>
        <v>#VALUE!</v>
      </c>
      <c r="N56" s="546" t="e">
        <f t="shared" si="10"/>
        <v>#VALUE!</v>
      </c>
      <c r="O56" s="547"/>
    </row>
    <row r="57" spans="1:15" ht="14.4" thickBot="1" x14ac:dyDescent="0.3">
      <c r="A57" s="548">
        <v>48</v>
      </c>
      <c r="B57" s="549">
        <v>45778</v>
      </c>
      <c r="C57" s="559" t="e">
        <f t="shared" si="3"/>
        <v>#VALUE!</v>
      </c>
      <c r="D57" s="560" t="e">
        <f t="shared" si="4"/>
        <v>#VALUE!</v>
      </c>
      <c r="E57" s="560" t="e">
        <f t="shared" si="5"/>
        <v>#VALUE!</v>
      </c>
      <c r="F57" s="561" t="e">
        <f t="shared" si="6"/>
        <v>#VALUE!</v>
      </c>
      <c r="G57" s="547"/>
      <c r="H57" s="492"/>
      <c r="I57" s="548">
        <v>48</v>
      </c>
      <c r="J57" s="549">
        <v>45778</v>
      </c>
      <c r="K57" s="559" t="e">
        <f t="shared" si="7"/>
        <v>#VALUE!</v>
      </c>
      <c r="L57" s="560" t="e">
        <f t="shared" si="8"/>
        <v>#VALUE!</v>
      </c>
      <c r="M57" s="560" t="e">
        <f t="shared" si="9"/>
        <v>#VALUE!</v>
      </c>
      <c r="N57" s="561" t="e">
        <f t="shared" si="10"/>
        <v>#VALUE!</v>
      </c>
      <c r="O57" s="547"/>
    </row>
    <row r="58" spans="1:15" x14ac:dyDescent="0.25">
      <c r="A58" s="562">
        <v>49</v>
      </c>
      <c r="B58" s="563">
        <v>45809</v>
      </c>
      <c r="C58" s="564" t="e">
        <f t="shared" si="3"/>
        <v>#VALUE!</v>
      </c>
      <c r="D58" s="565" t="e">
        <f t="shared" si="4"/>
        <v>#VALUE!</v>
      </c>
      <c r="E58" s="565" t="e">
        <f t="shared" si="5"/>
        <v>#VALUE!</v>
      </c>
      <c r="F58" s="566" t="e">
        <f t="shared" si="6"/>
        <v>#VALUE!</v>
      </c>
      <c r="G58" s="567" t="e">
        <f>$G$8*AVERAGE(C58:C69)</f>
        <v>#VALUE!</v>
      </c>
      <c r="H58" s="492"/>
      <c r="I58" s="562">
        <v>49</v>
      </c>
      <c r="J58" s="563">
        <v>45809</v>
      </c>
      <c r="K58" s="564" t="e">
        <f t="shared" si="7"/>
        <v>#VALUE!</v>
      </c>
      <c r="L58" s="565" t="e">
        <f t="shared" si="8"/>
        <v>#VALUE!</v>
      </c>
      <c r="M58" s="565" t="e">
        <f t="shared" si="9"/>
        <v>#VALUE!</v>
      </c>
      <c r="N58" s="566" t="e">
        <f t="shared" si="10"/>
        <v>#VALUE!</v>
      </c>
      <c r="O58" s="567" t="e">
        <f>$G$8*AVERAGE(K58:K69)</f>
        <v>#VALUE!</v>
      </c>
    </row>
    <row r="59" spans="1:15" x14ac:dyDescent="0.25">
      <c r="A59" s="548">
        <v>50</v>
      </c>
      <c r="B59" s="549">
        <v>45839</v>
      </c>
      <c r="C59" s="544" t="e">
        <f t="shared" si="3"/>
        <v>#VALUE!</v>
      </c>
      <c r="D59" s="545" t="e">
        <f t="shared" si="4"/>
        <v>#VALUE!</v>
      </c>
      <c r="E59" s="545" t="e">
        <f t="shared" si="5"/>
        <v>#VALUE!</v>
      </c>
      <c r="F59" s="546" t="e">
        <f t="shared" si="6"/>
        <v>#VALUE!</v>
      </c>
      <c r="G59" s="547"/>
      <c r="H59" s="492"/>
      <c r="I59" s="548">
        <v>50</v>
      </c>
      <c r="J59" s="549">
        <v>45839</v>
      </c>
      <c r="K59" s="544" t="e">
        <f t="shared" si="7"/>
        <v>#VALUE!</v>
      </c>
      <c r="L59" s="545" t="e">
        <f t="shared" si="8"/>
        <v>#VALUE!</v>
      </c>
      <c r="M59" s="545" t="e">
        <f t="shared" si="9"/>
        <v>#VALUE!</v>
      </c>
      <c r="N59" s="546" t="e">
        <f t="shared" si="10"/>
        <v>#VALUE!</v>
      </c>
      <c r="O59" s="547"/>
    </row>
    <row r="60" spans="1:15" x14ac:dyDescent="0.25">
      <c r="A60" s="548">
        <v>51</v>
      </c>
      <c r="B60" s="549">
        <v>45870</v>
      </c>
      <c r="C60" s="544" t="e">
        <f t="shared" si="3"/>
        <v>#VALUE!</v>
      </c>
      <c r="D60" s="545" t="e">
        <f t="shared" si="4"/>
        <v>#VALUE!</v>
      </c>
      <c r="E60" s="545" t="e">
        <f t="shared" si="5"/>
        <v>#VALUE!</v>
      </c>
      <c r="F60" s="546" t="e">
        <f t="shared" si="6"/>
        <v>#VALUE!</v>
      </c>
      <c r="G60" s="547"/>
      <c r="H60" s="492"/>
      <c r="I60" s="548">
        <v>51</v>
      </c>
      <c r="J60" s="549">
        <v>45870</v>
      </c>
      <c r="K60" s="544" t="e">
        <f t="shared" si="7"/>
        <v>#VALUE!</v>
      </c>
      <c r="L60" s="545" t="e">
        <f t="shared" si="8"/>
        <v>#VALUE!</v>
      </c>
      <c r="M60" s="545" t="e">
        <f t="shared" si="9"/>
        <v>#VALUE!</v>
      </c>
      <c r="N60" s="546" t="e">
        <f t="shared" si="10"/>
        <v>#VALUE!</v>
      </c>
      <c r="O60" s="547"/>
    </row>
    <row r="61" spans="1:15" x14ac:dyDescent="0.25">
      <c r="A61" s="548">
        <v>52</v>
      </c>
      <c r="B61" s="549">
        <v>45901</v>
      </c>
      <c r="C61" s="544" t="e">
        <f t="shared" si="3"/>
        <v>#VALUE!</v>
      </c>
      <c r="D61" s="545" t="e">
        <f t="shared" si="4"/>
        <v>#VALUE!</v>
      </c>
      <c r="E61" s="545" t="e">
        <f t="shared" si="5"/>
        <v>#VALUE!</v>
      </c>
      <c r="F61" s="546" t="e">
        <f t="shared" si="6"/>
        <v>#VALUE!</v>
      </c>
      <c r="G61" s="547"/>
      <c r="H61" s="492"/>
      <c r="I61" s="548">
        <v>52</v>
      </c>
      <c r="J61" s="549">
        <v>45901</v>
      </c>
      <c r="K61" s="544" t="e">
        <f t="shared" si="7"/>
        <v>#VALUE!</v>
      </c>
      <c r="L61" s="545" t="e">
        <f t="shared" si="8"/>
        <v>#VALUE!</v>
      </c>
      <c r="M61" s="545" t="e">
        <f t="shared" si="9"/>
        <v>#VALUE!</v>
      </c>
      <c r="N61" s="546" t="e">
        <f t="shared" si="10"/>
        <v>#VALUE!</v>
      </c>
      <c r="O61" s="547"/>
    </row>
    <row r="62" spans="1:15" x14ac:dyDescent="0.25">
      <c r="A62" s="548">
        <v>53</v>
      </c>
      <c r="B62" s="549">
        <v>45931</v>
      </c>
      <c r="C62" s="544" t="e">
        <f t="shared" si="3"/>
        <v>#VALUE!</v>
      </c>
      <c r="D62" s="545" t="e">
        <f t="shared" si="4"/>
        <v>#VALUE!</v>
      </c>
      <c r="E62" s="545" t="e">
        <f t="shared" si="5"/>
        <v>#VALUE!</v>
      </c>
      <c r="F62" s="546" t="e">
        <f t="shared" si="6"/>
        <v>#VALUE!</v>
      </c>
      <c r="G62" s="547"/>
      <c r="H62" s="492"/>
      <c r="I62" s="548">
        <v>53</v>
      </c>
      <c r="J62" s="549">
        <v>45931</v>
      </c>
      <c r="K62" s="544" t="e">
        <f t="shared" si="7"/>
        <v>#VALUE!</v>
      </c>
      <c r="L62" s="545" t="e">
        <f t="shared" si="8"/>
        <v>#VALUE!</v>
      </c>
      <c r="M62" s="545" t="e">
        <f t="shared" si="9"/>
        <v>#VALUE!</v>
      </c>
      <c r="N62" s="546" t="e">
        <f t="shared" si="10"/>
        <v>#VALUE!</v>
      </c>
      <c r="O62" s="547"/>
    </row>
    <row r="63" spans="1:15" x14ac:dyDescent="0.25">
      <c r="A63" s="548">
        <v>54</v>
      </c>
      <c r="B63" s="549">
        <v>45962</v>
      </c>
      <c r="C63" s="544" t="e">
        <f t="shared" si="3"/>
        <v>#VALUE!</v>
      </c>
      <c r="D63" s="545" t="e">
        <f t="shared" si="4"/>
        <v>#VALUE!</v>
      </c>
      <c r="E63" s="545" t="e">
        <f t="shared" si="5"/>
        <v>#VALUE!</v>
      </c>
      <c r="F63" s="546" t="e">
        <f t="shared" si="6"/>
        <v>#VALUE!</v>
      </c>
      <c r="G63" s="547"/>
      <c r="H63" s="492"/>
      <c r="I63" s="548">
        <v>54</v>
      </c>
      <c r="J63" s="549">
        <v>45962</v>
      </c>
      <c r="K63" s="544" t="e">
        <f t="shared" si="7"/>
        <v>#VALUE!</v>
      </c>
      <c r="L63" s="545" t="e">
        <f t="shared" si="8"/>
        <v>#VALUE!</v>
      </c>
      <c r="M63" s="545" t="e">
        <f t="shared" si="9"/>
        <v>#VALUE!</v>
      </c>
      <c r="N63" s="546" t="e">
        <f t="shared" si="10"/>
        <v>#VALUE!</v>
      </c>
      <c r="O63" s="547"/>
    </row>
    <row r="64" spans="1:15" x14ac:dyDescent="0.25">
      <c r="A64" s="548">
        <v>55</v>
      </c>
      <c r="B64" s="549">
        <v>45992</v>
      </c>
      <c r="C64" s="544" t="e">
        <f t="shared" si="3"/>
        <v>#VALUE!</v>
      </c>
      <c r="D64" s="545" t="e">
        <f t="shared" si="4"/>
        <v>#VALUE!</v>
      </c>
      <c r="E64" s="545" t="e">
        <f t="shared" si="5"/>
        <v>#VALUE!</v>
      </c>
      <c r="F64" s="546" t="e">
        <f t="shared" si="6"/>
        <v>#VALUE!</v>
      </c>
      <c r="G64" s="547"/>
      <c r="H64" s="492"/>
      <c r="I64" s="548">
        <v>55</v>
      </c>
      <c r="J64" s="549">
        <v>45992</v>
      </c>
      <c r="K64" s="544" t="e">
        <f t="shared" si="7"/>
        <v>#VALUE!</v>
      </c>
      <c r="L64" s="545" t="e">
        <f t="shared" si="8"/>
        <v>#VALUE!</v>
      </c>
      <c r="M64" s="545" t="e">
        <f t="shared" si="9"/>
        <v>#VALUE!</v>
      </c>
      <c r="N64" s="546" t="e">
        <f t="shared" si="10"/>
        <v>#VALUE!</v>
      </c>
      <c r="O64" s="547"/>
    </row>
    <row r="65" spans="1:15" x14ac:dyDescent="0.25">
      <c r="A65" s="548">
        <v>56</v>
      </c>
      <c r="B65" s="549">
        <v>46023</v>
      </c>
      <c r="C65" s="544" t="e">
        <f t="shared" si="3"/>
        <v>#VALUE!</v>
      </c>
      <c r="D65" s="545" t="e">
        <f t="shared" si="4"/>
        <v>#VALUE!</v>
      </c>
      <c r="E65" s="545" t="e">
        <f t="shared" si="5"/>
        <v>#VALUE!</v>
      </c>
      <c r="F65" s="546" t="e">
        <f t="shared" si="6"/>
        <v>#VALUE!</v>
      </c>
      <c r="G65" s="547"/>
      <c r="H65" s="492"/>
      <c r="I65" s="548">
        <v>56</v>
      </c>
      <c r="J65" s="549">
        <v>46023</v>
      </c>
      <c r="K65" s="544" t="e">
        <f t="shared" si="7"/>
        <v>#VALUE!</v>
      </c>
      <c r="L65" s="545" t="e">
        <f t="shared" si="8"/>
        <v>#VALUE!</v>
      </c>
      <c r="M65" s="545" t="e">
        <f t="shared" si="9"/>
        <v>#VALUE!</v>
      </c>
      <c r="N65" s="546" t="e">
        <f t="shared" si="10"/>
        <v>#VALUE!</v>
      </c>
      <c r="O65" s="547"/>
    </row>
    <row r="66" spans="1:15" x14ac:dyDescent="0.25">
      <c r="A66" s="548">
        <v>57</v>
      </c>
      <c r="B66" s="549">
        <v>46054</v>
      </c>
      <c r="C66" s="544" t="e">
        <f t="shared" si="3"/>
        <v>#VALUE!</v>
      </c>
      <c r="D66" s="545" t="e">
        <f t="shared" si="4"/>
        <v>#VALUE!</v>
      </c>
      <c r="E66" s="545" t="e">
        <f t="shared" si="5"/>
        <v>#VALUE!</v>
      </c>
      <c r="F66" s="546" t="e">
        <f t="shared" si="6"/>
        <v>#VALUE!</v>
      </c>
      <c r="G66" s="547"/>
      <c r="H66" s="492"/>
      <c r="I66" s="548">
        <v>57</v>
      </c>
      <c r="J66" s="549">
        <v>46054</v>
      </c>
      <c r="K66" s="544" t="e">
        <f t="shared" si="7"/>
        <v>#VALUE!</v>
      </c>
      <c r="L66" s="545" t="e">
        <f t="shared" si="8"/>
        <v>#VALUE!</v>
      </c>
      <c r="M66" s="545" t="e">
        <f t="shared" si="9"/>
        <v>#VALUE!</v>
      </c>
      <c r="N66" s="546" t="e">
        <f t="shared" si="10"/>
        <v>#VALUE!</v>
      </c>
      <c r="O66" s="547"/>
    </row>
    <row r="67" spans="1:15" x14ac:dyDescent="0.25">
      <c r="A67" s="548">
        <v>58</v>
      </c>
      <c r="B67" s="549">
        <v>46082</v>
      </c>
      <c r="C67" s="544" t="e">
        <f t="shared" si="3"/>
        <v>#VALUE!</v>
      </c>
      <c r="D67" s="545" t="e">
        <f t="shared" si="4"/>
        <v>#VALUE!</v>
      </c>
      <c r="E67" s="545" t="e">
        <f t="shared" si="5"/>
        <v>#VALUE!</v>
      </c>
      <c r="F67" s="546" t="e">
        <f t="shared" si="6"/>
        <v>#VALUE!</v>
      </c>
      <c r="G67" s="547"/>
      <c r="H67" s="492"/>
      <c r="I67" s="548">
        <v>58</v>
      </c>
      <c r="J67" s="549">
        <v>46082</v>
      </c>
      <c r="K67" s="544" t="e">
        <f t="shared" si="7"/>
        <v>#VALUE!</v>
      </c>
      <c r="L67" s="545" t="e">
        <f t="shared" si="8"/>
        <v>#VALUE!</v>
      </c>
      <c r="M67" s="545" t="e">
        <f t="shared" si="9"/>
        <v>#VALUE!</v>
      </c>
      <c r="N67" s="546" t="e">
        <f t="shared" si="10"/>
        <v>#VALUE!</v>
      </c>
      <c r="O67" s="547"/>
    </row>
    <row r="68" spans="1:15" x14ac:dyDescent="0.25">
      <c r="A68" s="548">
        <v>59</v>
      </c>
      <c r="B68" s="549">
        <v>46113</v>
      </c>
      <c r="C68" s="544" t="e">
        <f t="shared" si="3"/>
        <v>#VALUE!</v>
      </c>
      <c r="D68" s="545" t="e">
        <f t="shared" si="4"/>
        <v>#VALUE!</v>
      </c>
      <c r="E68" s="545" t="e">
        <f t="shared" si="5"/>
        <v>#VALUE!</v>
      </c>
      <c r="F68" s="546" t="e">
        <f t="shared" si="6"/>
        <v>#VALUE!</v>
      </c>
      <c r="G68" s="547"/>
      <c r="H68" s="492"/>
      <c r="I68" s="548">
        <v>59</v>
      </c>
      <c r="J68" s="549">
        <v>46113</v>
      </c>
      <c r="K68" s="544" t="e">
        <f t="shared" si="7"/>
        <v>#VALUE!</v>
      </c>
      <c r="L68" s="545" t="e">
        <f t="shared" si="8"/>
        <v>#VALUE!</v>
      </c>
      <c r="M68" s="545" t="e">
        <f t="shared" si="9"/>
        <v>#VALUE!</v>
      </c>
      <c r="N68" s="546" t="e">
        <f t="shared" si="10"/>
        <v>#VALUE!</v>
      </c>
      <c r="O68" s="547"/>
    </row>
    <row r="69" spans="1:15" ht="14.4" thickBot="1" x14ac:dyDescent="0.3">
      <c r="A69" s="550">
        <v>60</v>
      </c>
      <c r="B69" s="551">
        <v>46143</v>
      </c>
      <c r="C69" s="552" t="e">
        <f t="shared" si="3"/>
        <v>#VALUE!</v>
      </c>
      <c r="D69" s="553" t="e">
        <f t="shared" si="4"/>
        <v>#VALUE!</v>
      </c>
      <c r="E69" s="553" t="e">
        <f t="shared" si="5"/>
        <v>#VALUE!</v>
      </c>
      <c r="F69" s="554" t="e">
        <f t="shared" si="6"/>
        <v>#VALUE!</v>
      </c>
      <c r="G69" s="555"/>
      <c r="H69" s="492"/>
      <c r="I69" s="550">
        <v>60</v>
      </c>
      <c r="J69" s="551">
        <v>46143</v>
      </c>
      <c r="K69" s="552" t="e">
        <f t="shared" si="7"/>
        <v>#VALUE!</v>
      </c>
      <c r="L69" s="553" t="e">
        <f t="shared" si="8"/>
        <v>#VALUE!</v>
      </c>
      <c r="M69" s="553" t="e">
        <f t="shared" si="9"/>
        <v>#VALUE!</v>
      </c>
      <c r="N69" s="554" t="e">
        <f t="shared" si="10"/>
        <v>#VALUE!</v>
      </c>
      <c r="O69" s="555"/>
    </row>
    <row r="70" spans="1:15" x14ac:dyDescent="0.25">
      <c r="A70" s="548">
        <v>61</v>
      </c>
      <c r="B70" s="549">
        <v>46174</v>
      </c>
      <c r="C70" s="556" t="e">
        <f t="shared" si="3"/>
        <v>#VALUE!</v>
      </c>
      <c r="D70" s="557" t="e">
        <f t="shared" si="4"/>
        <v>#VALUE!</v>
      </c>
      <c r="E70" s="557" t="e">
        <f t="shared" si="5"/>
        <v>#VALUE!</v>
      </c>
      <c r="F70" s="558" t="e">
        <f t="shared" si="6"/>
        <v>#VALUE!</v>
      </c>
      <c r="G70" s="567" t="e">
        <f>$G$8*AVERAGE(C70:C81)</f>
        <v>#VALUE!</v>
      </c>
      <c r="H70" s="492"/>
      <c r="I70" s="548">
        <v>61</v>
      </c>
      <c r="J70" s="549">
        <v>46174</v>
      </c>
      <c r="K70" s="556" t="e">
        <f t="shared" si="7"/>
        <v>#VALUE!</v>
      </c>
      <c r="L70" s="557" t="e">
        <f t="shared" si="8"/>
        <v>#VALUE!</v>
      </c>
      <c r="M70" s="557" t="e">
        <f t="shared" si="9"/>
        <v>#VALUE!</v>
      </c>
      <c r="N70" s="558" t="e">
        <f t="shared" si="10"/>
        <v>#VALUE!</v>
      </c>
      <c r="O70" s="567" t="e">
        <f>$G$8*AVERAGE(K70:K81)</f>
        <v>#VALUE!</v>
      </c>
    </row>
    <row r="71" spans="1:15" x14ac:dyDescent="0.25">
      <c r="A71" s="548">
        <v>62</v>
      </c>
      <c r="B71" s="549">
        <v>46204</v>
      </c>
      <c r="C71" s="544" t="e">
        <f t="shared" si="3"/>
        <v>#VALUE!</v>
      </c>
      <c r="D71" s="545" t="e">
        <f t="shared" si="4"/>
        <v>#VALUE!</v>
      </c>
      <c r="E71" s="545" t="e">
        <f t="shared" si="5"/>
        <v>#VALUE!</v>
      </c>
      <c r="F71" s="546" t="e">
        <f t="shared" si="6"/>
        <v>#VALUE!</v>
      </c>
      <c r="G71" s="547"/>
      <c r="H71" s="492"/>
      <c r="I71" s="548">
        <v>62</v>
      </c>
      <c r="J71" s="549">
        <v>46204</v>
      </c>
      <c r="K71" s="544" t="e">
        <f t="shared" si="7"/>
        <v>#VALUE!</v>
      </c>
      <c r="L71" s="545" t="e">
        <f t="shared" si="8"/>
        <v>#VALUE!</v>
      </c>
      <c r="M71" s="545" t="e">
        <f t="shared" si="9"/>
        <v>#VALUE!</v>
      </c>
      <c r="N71" s="546" t="e">
        <f t="shared" si="10"/>
        <v>#VALUE!</v>
      </c>
      <c r="O71" s="547"/>
    </row>
    <row r="72" spans="1:15" x14ac:dyDescent="0.25">
      <c r="A72" s="548">
        <v>63</v>
      </c>
      <c r="B72" s="549">
        <v>46235</v>
      </c>
      <c r="C72" s="544" t="e">
        <f t="shared" si="3"/>
        <v>#VALUE!</v>
      </c>
      <c r="D72" s="545" t="e">
        <f t="shared" si="4"/>
        <v>#VALUE!</v>
      </c>
      <c r="E72" s="545" t="e">
        <f t="shared" si="5"/>
        <v>#VALUE!</v>
      </c>
      <c r="F72" s="546" t="e">
        <f t="shared" si="6"/>
        <v>#VALUE!</v>
      </c>
      <c r="G72" s="547"/>
      <c r="H72" s="492"/>
      <c r="I72" s="548">
        <v>63</v>
      </c>
      <c r="J72" s="549">
        <v>46235</v>
      </c>
      <c r="K72" s="544" t="e">
        <f t="shared" si="7"/>
        <v>#VALUE!</v>
      </c>
      <c r="L72" s="545" t="e">
        <f t="shared" si="8"/>
        <v>#VALUE!</v>
      </c>
      <c r="M72" s="545" t="e">
        <f t="shared" si="9"/>
        <v>#VALUE!</v>
      </c>
      <c r="N72" s="546" t="e">
        <f t="shared" si="10"/>
        <v>#VALUE!</v>
      </c>
      <c r="O72" s="547"/>
    </row>
    <row r="73" spans="1:15" x14ac:dyDescent="0.25">
      <c r="A73" s="548">
        <v>64</v>
      </c>
      <c r="B73" s="549">
        <v>46266</v>
      </c>
      <c r="C73" s="544" t="e">
        <f t="shared" si="3"/>
        <v>#VALUE!</v>
      </c>
      <c r="D73" s="545" t="e">
        <f t="shared" si="4"/>
        <v>#VALUE!</v>
      </c>
      <c r="E73" s="545" t="e">
        <f t="shared" si="5"/>
        <v>#VALUE!</v>
      </c>
      <c r="F73" s="546" t="e">
        <f t="shared" si="6"/>
        <v>#VALUE!</v>
      </c>
      <c r="G73" s="547"/>
      <c r="H73" s="492"/>
      <c r="I73" s="548">
        <v>64</v>
      </c>
      <c r="J73" s="549">
        <v>46266</v>
      </c>
      <c r="K73" s="544" t="e">
        <f t="shared" si="7"/>
        <v>#VALUE!</v>
      </c>
      <c r="L73" s="545" t="e">
        <f t="shared" si="8"/>
        <v>#VALUE!</v>
      </c>
      <c r="M73" s="545" t="e">
        <f t="shared" si="9"/>
        <v>#VALUE!</v>
      </c>
      <c r="N73" s="546" t="e">
        <f t="shared" si="10"/>
        <v>#VALUE!</v>
      </c>
      <c r="O73" s="547"/>
    </row>
    <row r="74" spans="1:15" x14ac:dyDescent="0.25">
      <c r="A74" s="548">
        <v>65</v>
      </c>
      <c r="B74" s="549">
        <v>46296</v>
      </c>
      <c r="C74" s="544" t="e">
        <f t="shared" si="3"/>
        <v>#VALUE!</v>
      </c>
      <c r="D74" s="545" t="e">
        <f t="shared" si="4"/>
        <v>#VALUE!</v>
      </c>
      <c r="E74" s="545" t="e">
        <f t="shared" si="5"/>
        <v>#VALUE!</v>
      </c>
      <c r="F74" s="546" t="e">
        <f t="shared" si="6"/>
        <v>#VALUE!</v>
      </c>
      <c r="G74" s="547"/>
      <c r="H74" s="492"/>
      <c r="I74" s="548">
        <v>65</v>
      </c>
      <c r="J74" s="549">
        <v>46296</v>
      </c>
      <c r="K74" s="544" t="e">
        <f t="shared" si="7"/>
        <v>#VALUE!</v>
      </c>
      <c r="L74" s="545" t="e">
        <f t="shared" si="8"/>
        <v>#VALUE!</v>
      </c>
      <c r="M74" s="545" t="e">
        <f t="shared" si="9"/>
        <v>#VALUE!</v>
      </c>
      <c r="N74" s="546" t="e">
        <f t="shared" si="10"/>
        <v>#VALUE!</v>
      </c>
      <c r="O74" s="547"/>
    </row>
    <row r="75" spans="1:15" x14ac:dyDescent="0.25">
      <c r="A75" s="548">
        <v>66</v>
      </c>
      <c r="B75" s="549">
        <v>46327</v>
      </c>
      <c r="C75" s="544" t="e">
        <f t="shared" ref="C75:C138" si="11">C74-D75</f>
        <v>#VALUE!</v>
      </c>
      <c r="D75" s="545" t="e">
        <f t="shared" ref="D75:D138" si="12">-PPMT($C$4/12,A75,$F$4*$F$6,$C$3)</f>
        <v>#VALUE!</v>
      </c>
      <c r="E75" s="545" t="e">
        <f t="shared" ref="E75:E138" si="13">F75-D75</f>
        <v>#VALUE!</v>
      </c>
      <c r="F75" s="546" t="e">
        <f t="shared" ref="F75:F138" si="14">$F$3</f>
        <v>#VALUE!</v>
      </c>
      <c r="G75" s="547"/>
      <c r="H75" s="492"/>
      <c r="I75" s="548">
        <v>66</v>
      </c>
      <c r="J75" s="549">
        <v>46327</v>
      </c>
      <c r="K75" s="544" t="e">
        <f t="shared" ref="K75:K138" si="15">K74-L75</f>
        <v>#VALUE!</v>
      </c>
      <c r="L75" s="545" t="e">
        <f t="shared" ref="L75:L138" si="16">-PPMT($K$4/12,I75,$N$4*$N$6,$K$3)</f>
        <v>#VALUE!</v>
      </c>
      <c r="M75" s="545" t="e">
        <f t="shared" ref="M75:M138" si="17">N75-L75</f>
        <v>#VALUE!</v>
      </c>
      <c r="N75" s="546" t="e">
        <f t="shared" ref="N75:N138" si="18">$N$3</f>
        <v>#VALUE!</v>
      </c>
      <c r="O75" s="547"/>
    </row>
    <row r="76" spans="1:15" x14ac:dyDescent="0.25">
      <c r="A76" s="548">
        <v>67</v>
      </c>
      <c r="B76" s="549">
        <v>46357</v>
      </c>
      <c r="C76" s="544" t="e">
        <f t="shared" si="11"/>
        <v>#VALUE!</v>
      </c>
      <c r="D76" s="545" t="e">
        <f t="shared" si="12"/>
        <v>#VALUE!</v>
      </c>
      <c r="E76" s="545" t="e">
        <f t="shared" si="13"/>
        <v>#VALUE!</v>
      </c>
      <c r="F76" s="546" t="e">
        <f t="shared" si="14"/>
        <v>#VALUE!</v>
      </c>
      <c r="G76" s="547"/>
      <c r="H76" s="492"/>
      <c r="I76" s="548">
        <v>67</v>
      </c>
      <c r="J76" s="549">
        <v>46357</v>
      </c>
      <c r="K76" s="544" t="e">
        <f t="shared" si="15"/>
        <v>#VALUE!</v>
      </c>
      <c r="L76" s="545" t="e">
        <f t="shared" si="16"/>
        <v>#VALUE!</v>
      </c>
      <c r="M76" s="545" t="e">
        <f t="shared" si="17"/>
        <v>#VALUE!</v>
      </c>
      <c r="N76" s="546" t="e">
        <f t="shared" si="18"/>
        <v>#VALUE!</v>
      </c>
      <c r="O76" s="547"/>
    </row>
    <row r="77" spans="1:15" x14ac:dyDescent="0.25">
      <c r="A77" s="548">
        <v>68</v>
      </c>
      <c r="B77" s="549">
        <v>46388</v>
      </c>
      <c r="C77" s="544" t="e">
        <f t="shared" si="11"/>
        <v>#VALUE!</v>
      </c>
      <c r="D77" s="545" t="e">
        <f t="shared" si="12"/>
        <v>#VALUE!</v>
      </c>
      <c r="E77" s="545" t="e">
        <f t="shared" si="13"/>
        <v>#VALUE!</v>
      </c>
      <c r="F77" s="546" t="e">
        <f t="shared" si="14"/>
        <v>#VALUE!</v>
      </c>
      <c r="G77" s="547"/>
      <c r="H77" s="492"/>
      <c r="I77" s="548">
        <v>68</v>
      </c>
      <c r="J77" s="549">
        <v>46388</v>
      </c>
      <c r="K77" s="544" t="e">
        <f t="shared" si="15"/>
        <v>#VALUE!</v>
      </c>
      <c r="L77" s="545" t="e">
        <f t="shared" si="16"/>
        <v>#VALUE!</v>
      </c>
      <c r="M77" s="545" t="e">
        <f t="shared" si="17"/>
        <v>#VALUE!</v>
      </c>
      <c r="N77" s="546" t="e">
        <f t="shared" si="18"/>
        <v>#VALUE!</v>
      </c>
      <c r="O77" s="547"/>
    </row>
    <row r="78" spans="1:15" x14ac:dyDescent="0.25">
      <c r="A78" s="548">
        <v>69</v>
      </c>
      <c r="B78" s="549">
        <v>46419</v>
      </c>
      <c r="C78" s="544" t="e">
        <f t="shared" si="11"/>
        <v>#VALUE!</v>
      </c>
      <c r="D78" s="545" t="e">
        <f t="shared" si="12"/>
        <v>#VALUE!</v>
      </c>
      <c r="E78" s="545" t="e">
        <f t="shared" si="13"/>
        <v>#VALUE!</v>
      </c>
      <c r="F78" s="546" t="e">
        <f t="shared" si="14"/>
        <v>#VALUE!</v>
      </c>
      <c r="G78" s="547"/>
      <c r="H78" s="492"/>
      <c r="I78" s="548">
        <v>69</v>
      </c>
      <c r="J78" s="549">
        <v>46419</v>
      </c>
      <c r="K78" s="544" t="e">
        <f t="shared" si="15"/>
        <v>#VALUE!</v>
      </c>
      <c r="L78" s="545" t="e">
        <f t="shared" si="16"/>
        <v>#VALUE!</v>
      </c>
      <c r="M78" s="545" t="e">
        <f t="shared" si="17"/>
        <v>#VALUE!</v>
      </c>
      <c r="N78" s="546" t="e">
        <f t="shared" si="18"/>
        <v>#VALUE!</v>
      </c>
      <c r="O78" s="547"/>
    </row>
    <row r="79" spans="1:15" x14ac:dyDescent="0.25">
      <c r="A79" s="548">
        <v>70</v>
      </c>
      <c r="B79" s="549">
        <v>46447</v>
      </c>
      <c r="C79" s="544" t="e">
        <f t="shared" si="11"/>
        <v>#VALUE!</v>
      </c>
      <c r="D79" s="545" t="e">
        <f t="shared" si="12"/>
        <v>#VALUE!</v>
      </c>
      <c r="E79" s="545" t="e">
        <f t="shared" si="13"/>
        <v>#VALUE!</v>
      </c>
      <c r="F79" s="546" t="e">
        <f t="shared" si="14"/>
        <v>#VALUE!</v>
      </c>
      <c r="G79" s="547"/>
      <c r="H79" s="492"/>
      <c r="I79" s="548">
        <v>70</v>
      </c>
      <c r="J79" s="549">
        <v>46447</v>
      </c>
      <c r="K79" s="544" t="e">
        <f t="shared" si="15"/>
        <v>#VALUE!</v>
      </c>
      <c r="L79" s="545" t="e">
        <f t="shared" si="16"/>
        <v>#VALUE!</v>
      </c>
      <c r="M79" s="545" t="e">
        <f t="shared" si="17"/>
        <v>#VALUE!</v>
      </c>
      <c r="N79" s="546" t="e">
        <f t="shared" si="18"/>
        <v>#VALUE!</v>
      </c>
      <c r="O79" s="547"/>
    </row>
    <row r="80" spans="1:15" x14ac:dyDescent="0.25">
      <c r="A80" s="548">
        <v>71</v>
      </c>
      <c r="B80" s="549">
        <v>46478</v>
      </c>
      <c r="C80" s="544" t="e">
        <f t="shared" si="11"/>
        <v>#VALUE!</v>
      </c>
      <c r="D80" s="545" t="e">
        <f t="shared" si="12"/>
        <v>#VALUE!</v>
      </c>
      <c r="E80" s="545" t="e">
        <f t="shared" si="13"/>
        <v>#VALUE!</v>
      </c>
      <c r="F80" s="546" t="e">
        <f t="shared" si="14"/>
        <v>#VALUE!</v>
      </c>
      <c r="G80" s="547"/>
      <c r="H80" s="492"/>
      <c r="I80" s="548">
        <v>71</v>
      </c>
      <c r="J80" s="549">
        <v>46478</v>
      </c>
      <c r="K80" s="544" t="e">
        <f t="shared" si="15"/>
        <v>#VALUE!</v>
      </c>
      <c r="L80" s="545" t="e">
        <f t="shared" si="16"/>
        <v>#VALUE!</v>
      </c>
      <c r="M80" s="545" t="e">
        <f t="shared" si="17"/>
        <v>#VALUE!</v>
      </c>
      <c r="N80" s="546" t="e">
        <f t="shared" si="18"/>
        <v>#VALUE!</v>
      </c>
      <c r="O80" s="547"/>
    </row>
    <row r="81" spans="1:15" ht="14.4" thickBot="1" x14ac:dyDescent="0.3">
      <c r="A81" s="548">
        <v>72</v>
      </c>
      <c r="B81" s="549">
        <v>46508</v>
      </c>
      <c r="C81" s="559" t="e">
        <f t="shared" si="11"/>
        <v>#VALUE!</v>
      </c>
      <c r="D81" s="560" t="e">
        <f t="shared" si="12"/>
        <v>#VALUE!</v>
      </c>
      <c r="E81" s="560" t="e">
        <f t="shared" si="13"/>
        <v>#VALUE!</v>
      </c>
      <c r="F81" s="561" t="e">
        <f t="shared" si="14"/>
        <v>#VALUE!</v>
      </c>
      <c r="G81" s="547"/>
      <c r="H81" s="492"/>
      <c r="I81" s="548">
        <v>72</v>
      </c>
      <c r="J81" s="549">
        <v>46508</v>
      </c>
      <c r="K81" s="559" t="e">
        <f t="shared" si="15"/>
        <v>#VALUE!</v>
      </c>
      <c r="L81" s="560" t="e">
        <f t="shared" si="16"/>
        <v>#VALUE!</v>
      </c>
      <c r="M81" s="560" t="e">
        <f t="shared" si="17"/>
        <v>#VALUE!</v>
      </c>
      <c r="N81" s="561" t="e">
        <f t="shared" si="18"/>
        <v>#VALUE!</v>
      </c>
      <c r="O81" s="547"/>
    </row>
    <row r="82" spans="1:15" x14ac:dyDescent="0.25">
      <c r="A82" s="562">
        <v>73</v>
      </c>
      <c r="B82" s="563">
        <v>46539</v>
      </c>
      <c r="C82" s="564" t="e">
        <f t="shared" si="11"/>
        <v>#VALUE!</v>
      </c>
      <c r="D82" s="565" t="e">
        <f t="shared" si="12"/>
        <v>#VALUE!</v>
      </c>
      <c r="E82" s="565" t="e">
        <f t="shared" si="13"/>
        <v>#VALUE!</v>
      </c>
      <c r="F82" s="566" t="e">
        <f t="shared" si="14"/>
        <v>#VALUE!</v>
      </c>
      <c r="G82" s="567" t="e">
        <f>$G$8*AVERAGE(C82:C93)</f>
        <v>#VALUE!</v>
      </c>
      <c r="H82" s="492"/>
      <c r="I82" s="562">
        <v>73</v>
      </c>
      <c r="J82" s="563">
        <v>46539</v>
      </c>
      <c r="K82" s="564" t="e">
        <f t="shared" si="15"/>
        <v>#VALUE!</v>
      </c>
      <c r="L82" s="565" t="e">
        <f t="shared" si="16"/>
        <v>#VALUE!</v>
      </c>
      <c r="M82" s="565" t="e">
        <f t="shared" si="17"/>
        <v>#VALUE!</v>
      </c>
      <c r="N82" s="566" t="e">
        <f t="shared" si="18"/>
        <v>#VALUE!</v>
      </c>
      <c r="O82" s="567" t="e">
        <f>$G$8*AVERAGE(K82:K93)</f>
        <v>#VALUE!</v>
      </c>
    </row>
    <row r="83" spans="1:15" x14ac:dyDescent="0.25">
      <c r="A83" s="548">
        <v>74</v>
      </c>
      <c r="B83" s="549">
        <v>46569</v>
      </c>
      <c r="C83" s="544" t="e">
        <f t="shared" si="11"/>
        <v>#VALUE!</v>
      </c>
      <c r="D83" s="545" t="e">
        <f t="shared" si="12"/>
        <v>#VALUE!</v>
      </c>
      <c r="E83" s="545" t="e">
        <f t="shared" si="13"/>
        <v>#VALUE!</v>
      </c>
      <c r="F83" s="546" t="e">
        <f t="shared" si="14"/>
        <v>#VALUE!</v>
      </c>
      <c r="G83" s="547"/>
      <c r="H83" s="492"/>
      <c r="I83" s="548">
        <v>74</v>
      </c>
      <c r="J83" s="549">
        <v>46569</v>
      </c>
      <c r="K83" s="544" t="e">
        <f t="shared" si="15"/>
        <v>#VALUE!</v>
      </c>
      <c r="L83" s="545" t="e">
        <f t="shared" si="16"/>
        <v>#VALUE!</v>
      </c>
      <c r="M83" s="545" t="e">
        <f t="shared" si="17"/>
        <v>#VALUE!</v>
      </c>
      <c r="N83" s="546" t="e">
        <f t="shared" si="18"/>
        <v>#VALUE!</v>
      </c>
      <c r="O83" s="547"/>
    </row>
    <row r="84" spans="1:15" x14ac:dyDescent="0.25">
      <c r="A84" s="548">
        <v>75</v>
      </c>
      <c r="B84" s="549">
        <v>46600</v>
      </c>
      <c r="C84" s="544" t="e">
        <f t="shared" si="11"/>
        <v>#VALUE!</v>
      </c>
      <c r="D84" s="545" t="e">
        <f t="shared" si="12"/>
        <v>#VALUE!</v>
      </c>
      <c r="E84" s="545" t="e">
        <f t="shared" si="13"/>
        <v>#VALUE!</v>
      </c>
      <c r="F84" s="546" t="e">
        <f t="shared" si="14"/>
        <v>#VALUE!</v>
      </c>
      <c r="G84" s="547"/>
      <c r="H84" s="492"/>
      <c r="I84" s="548">
        <v>75</v>
      </c>
      <c r="J84" s="549">
        <v>46600</v>
      </c>
      <c r="K84" s="544" t="e">
        <f t="shared" si="15"/>
        <v>#VALUE!</v>
      </c>
      <c r="L84" s="545" t="e">
        <f t="shared" si="16"/>
        <v>#VALUE!</v>
      </c>
      <c r="M84" s="545" t="e">
        <f t="shared" si="17"/>
        <v>#VALUE!</v>
      </c>
      <c r="N84" s="546" t="e">
        <f t="shared" si="18"/>
        <v>#VALUE!</v>
      </c>
      <c r="O84" s="547"/>
    </row>
    <row r="85" spans="1:15" x14ac:dyDescent="0.25">
      <c r="A85" s="548">
        <v>76</v>
      </c>
      <c r="B85" s="549">
        <v>46631</v>
      </c>
      <c r="C85" s="544" t="e">
        <f t="shared" si="11"/>
        <v>#VALUE!</v>
      </c>
      <c r="D85" s="545" t="e">
        <f t="shared" si="12"/>
        <v>#VALUE!</v>
      </c>
      <c r="E85" s="545" t="e">
        <f t="shared" si="13"/>
        <v>#VALUE!</v>
      </c>
      <c r="F85" s="546" t="e">
        <f t="shared" si="14"/>
        <v>#VALUE!</v>
      </c>
      <c r="G85" s="547"/>
      <c r="H85" s="492"/>
      <c r="I85" s="548">
        <v>76</v>
      </c>
      <c r="J85" s="549">
        <v>46631</v>
      </c>
      <c r="K85" s="544" t="e">
        <f t="shared" si="15"/>
        <v>#VALUE!</v>
      </c>
      <c r="L85" s="545" t="e">
        <f t="shared" si="16"/>
        <v>#VALUE!</v>
      </c>
      <c r="M85" s="545" t="e">
        <f t="shared" si="17"/>
        <v>#VALUE!</v>
      </c>
      <c r="N85" s="546" t="e">
        <f t="shared" si="18"/>
        <v>#VALUE!</v>
      </c>
      <c r="O85" s="547"/>
    </row>
    <row r="86" spans="1:15" x14ac:dyDescent="0.25">
      <c r="A86" s="548">
        <v>77</v>
      </c>
      <c r="B86" s="549">
        <v>46661</v>
      </c>
      <c r="C86" s="544" t="e">
        <f t="shared" si="11"/>
        <v>#VALUE!</v>
      </c>
      <c r="D86" s="545" t="e">
        <f t="shared" si="12"/>
        <v>#VALUE!</v>
      </c>
      <c r="E86" s="545" t="e">
        <f t="shared" si="13"/>
        <v>#VALUE!</v>
      </c>
      <c r="F86" s="546" t="e">
        <f t="shared" si="14"/>
        <v>#VALUE!</v>
      </c>
      <c r="G86" s="547"/>
      <c r="H86" s="492"/>
      <c r="I86" s="548">
        <v>77</v>
      </c>
      <c r="J86" s="549">
        <v>46661</v>
      </c>
      <c r="K86" s="544" t="e">
        <f t="shared" si="15"/>
        <v>#VALUE!</v>
      </c>
      <c r="L86" s="545" t="e">
        <f t="shared" si="16"/>
        <v>#VALUE!</v>
      </c>
      <c r="M86" s="545" t="e">
        <f t="shared" si="17"/>
        <v>#VALUE!</v>
      </c>
      <c r="N86" s="546" t="e">
        <f t="shared" si="18"/>
        <v>#VALUE!</v>
      </c>
      <c r="O86" s="547"/>
    </row>
    <row r="87" spans="1:15" x14ac:dyDescent="0.25">
      <c r="A87" s="548">
        <v>78</v>
      </c>
      <c r="B87" s="549">
        <v>46692</v>
      </c>
      <c r="C87" s="544" t="e">
        <f t="shared" si="11"/>
        <v>#VALUE!</v>
      </c>
      <c r="D87" s="545" t="e">
        <f t="shared" si="12"/>
        <v>#VALUE!</v>
      </c>
      <c r="E87" s="545" t="e">
        <f t="shared" si="13"/>
        <v>#VALUE!</v>
      </c>
      <c r="F87" s="546" t="e">
        <f t="shared" si="14"/>
        <v>#VALUE!</v>
      </c>
      <c r="G87" s="547"/>
      <c r="H87" s="492"/>
      <c r="I87" s="548">
        <v>78</v>
      </c>
      <c r="J87" s="549">
        <v>46692</v>
      </c>
      <c r="K87" s="544" t="e">
        <f t="shared" si="15"/>
        <v>#VALUE!</v>
      </c>
      <c r="L87" s="545" t="e">
        <f t="shared" si="16"/>
        <v>#VALUE!</v>
      </c>
      <c r="M87" s="545" t="e">
        <f t="shared" si="17"/>
        <v>#VALUE!</v>
      </c>
      <c r="N87" s="546" t="e">
        <f t="shared" si="18"/>
        <v>#VALUE!</v>
      </c>
      <c r="O87" s="547"/>
    </row>
    <row r="88" spans="1:15" x14ac:dyDescent="0.25">
      <c r="A88" s="548">
        <v>79</v>
      </c>
      <c r="B88" s="549">
        <v>46722</v>
      </c>
      <c r="C88" s="544" t="e">
        <f t="shared" si="11"/>
        <v>#VALUE!</v>
      </c>
      <c r="D88" s="545" t="e">
        <f t="shared" si="12"/>
        <v>#VALUE!</v>
      </c>
      <c r="E88" s="545" t="e">
        <f t="shared" si="13"/>
        <v>#VALUE!</v>
      </c>
      <c r="F88" s="546" t="e">
        <f t="shared" si="14"/>
        <v>#VALUE!</v>
      </c>
      <c r="G88" s="547"/>
      <c r="H88" s="492"/>
      <c r="I88" s="548">
        <v>79</v>
      </c>
      <c r="J88" s="549">
        <v>46722</v>
      </c>
      <c r="K88" s="544" t="e">
        <f t="shared" si="15"/>
        <v>#VALUE!</v>
      </c>
      <c r="L88" s="545" t="e">
        <f t="shared" si="16"/>
        <v>#VALUE!</v>
      </c>
      <c r="M88" s="545" t="e">
        <f t="shared" si="17"/>
        <v>#VALUE!</v>
      </c>
      <c r="N88" s="546" t="e">
        <f t="shared" si="18"/>
        <v>#VALUE!</v>
      </c>
      <c r="O88" s="547"/>
    </row>
    <row r="89" spans="1:15" x14ac:dyDescent="0.25">
      <c r="A89" s="548">
        <v>80</v>
      </c>
      <c r="B89" s="549">
        <v>46753</v>
      </c>
      <c r="C89" s="544" t="e">
        <f t="shared" si="11"/>
        <v>#VALUE!</v>
      </c>
      <c r="D89" s="545" t="e">
        <f t="shared" si="12"/>
        <v>#VALUE!</v>
      </c>
      <c r="E89" s="545" t="e">
        <f t="shared" si="13"/>
        <v>#VALUE!</v>
      </c>
      <c r="F89" s="546" t="e">
        <f t="shared" si="14"/>
        <v>#VALUE!</v>
      </c>
      <c r="G89" s="547"/>
      <c r="H89" s="492"/>
      <c r="I89" s="548">
        <v>80</v>
      </c>
      <c r="J89" s="549">
        <v>46753</v>
      </c>
      <c r="K89" s="544" t="e">
        <f t="shared" si="15"/>
        <v>#VALUE!</v>
      </c>
      <c r="L89" s="545" t="e">
        <f t="shared" si="16"/>
        <v>#VALUE!</v>
      </c>
      <c r="M89" s="545" t="e">
        <f t="shared" si="17"/>
        <v>#VALUE!</v>
      </c>
      <c r="N89" s="546" t="e">
        <f t="shared" si="18"/>
        <v>#VALUE!</v>
      </c>
      <c r="O89" s="547"/>
    </row>
    <row r="90" spans="1:15" x14ac:dyDescent="0.25">
      <c r="A90" s="548">
        <v>81</v>
      </c>
      <c r="B90" s="549">
        <v>46784</v>
      </c>
      <c r="C90" s="544" t="e">
        <f t="shared" si="11"/>
        <v>#VALUE!</v>
      </c>
      <c r="D90" s="545" t="e">
        <f t="shared" si="12"/>
        <v>#VALUE!</v>
      </c>
      <c r="E90" s="545" t="e">
        <f t="shared" si="13"/>
        <v>#VALUE!</v>
      </c>
      <c r="F90" s="546" t="e">
        <f t="shared" si="14"/>
        <v>#VALUE!</v>
      </c>
      <c r="G90" s="547"/>
      <c r="H90" s="492"/>
      <c r="I90" s="548">
        <v>81</v>
      </c>
      <c r="J90" s="549">
        <v>46784</v>
      </c>
      <c r="K90" s="544" t="e">
        <f t="shared" si="15"/>
        <v>#VALUE!</v>
      </c>
      <c r="L90" s="545" t="e">
        <f t="shared" si="16"/>
        <v>#VALUE!</v>
      </c>
      <c r="M90" s="545" t="e">
        <f t="shared" si="17"/>
        <v>#VALUE!</v>
      </c>
      <c r="N90" s="546" t="e">
        <f t="shared" si="18"/>
        <v>#VALUE!</v>
      </c>
      <c r="O90" s="547"/>
    </row>
    <row r="91" spans="1:15" x14ac:dyDescent="0.25">
      <c r="A91" s="548">
        <v>82</v>
      </c>
      <c r="B91" s="549">
        <v>46813</v>
      </c>
      <c r="C91" s="544" t="e">
        <f t="shared" si="11"/>
        <v>#VALUE!</v>
      </c>
      <c r="D91" s="545" t="e">
        <f t="shared" si="12"/>
        <v>#VALUE!</v>
      </c>
      <c r="E91" s="545" t="e">
        <f t="shared" si="13"/>
        <v>#VALUE!</v>
      </c>
      <c r="F91" s="546" t="e">
        <f t="shared" si="14"/>
        <v>#VALUE!</v>
      </c>
      <c r="G91" s="547"/>
      <c r="H91" s="492"/>
      <c r="I91" s="548">
        <v>82</v>
      </c>
      <c r="J91" s="549">
        <v>46813</v>
      </c>
      <c r="K91" s="544" t="e">
        <f t="shared" si="15"/>
        <v>#VALUE!</v>
      </c>
      <c r="L91" s="545" t="e">
        <f t="shared" si="16"/>
        <v>#VALUE!</v>
      </c>
      <c r="M91" s="545" t="e">
        <f t="shared" si="17"/>
        <v>#VALUE!</v>
      </c>
      <c r="N91" s="546" t="e">
        <f t="shared" si="18"/>
        <v>#VALUE!</v>
      </c>
      <c r="O91" s="547"/>
    </row>
    <row r="92" spans="1:15" x14ac:dyDescent="0.25">
      <c r="A92" s="548">
        <v>83</v>
      </c>
      <c r="B92" s="549">
        <v>46844</v>
      </c>
      <c r="C92" s="544" t="e">
        <f t="shared" si="11"/>
        <v>#VALUE!</v>
      </c>
      <c r="D92" s="545" t="e">
        <f t="shared" si="12"/>
        <v>#VALUE!</v>
      </c>
      <c r="E92" s="545" t="e">
        <f t="shared" si="13"/>
        <v>#VALUE!</v>
      </c>
      <c r="F92" s="546" t="e">
        <f t="shared" si="14"/>
        <v>#VALUE!</v>
      </c>
      <c r="G92" s="547"/>
      <c r="H92" s="492"/>
      <c r="I92" s="548">
        <v>83</v>
      </c>
      <c r="J92" s="549">
        <v>46844</v>
      </c>
      <c r="K92" s="544" t="e">
        <f t="shared" si="15"/>
        <v>#VALUE!</v>
      </c>
      <c r="L92" s="545" t="e">
        <f t="shared" si="16"/>
        <v>#VALUE!</v>
      </c>
      <c r="M92" s="545" t="e">
        <f t="shared" si="17"/>
        <v>#VALUE!</v>
      </c>
      <c r="N92" s="546" t="e">
        <f t="shared" si="18"/>
        <v>#VALUE!</v>
      </c>
      <c r="O92" s="547"/>
    </row>
    <row r="93" spans="1:15" ht="14.4" thickBot="1" x14ac:dyDescent="0.3">
      <c r="A93" s="550">
        <v>84</v>
      </c>
      <c r="B93" s="551">
        <v>46874</v>
      </c>
      <c r="C93" s="552" t="e">
        <f t="shared" si="11"/>
        <v>#VALUE!</v>
      </c>
      <c r="D93" s="553" t="e">
        <f t="shared" si="12"/>
        <v>#VALUE!</v>
      </c>
      <c r="E93" s="553" t="e">
        <f t="shared" si="13"/>
        <v>#VALUE!</v>
      </c>
      <c r="F93" s="554" t="e">
        <f t="shared" si="14"/>
        <v>#VALUE!</v>
      </c>
      <c r="G93" s="555"/>
      <c r="H93" s="492"/>
      <c r="I93" s="550">
        <v>84</v>
      </c>
      <c r="J93" s="551">
        <v>46874</v>
      </c>
      <c r="K93" s="552" t="e">
        <f t="shared" si="15"/>
        <v>#VALUE!</v>
      </c>
      <c r="L93" s="553" t="e">
        <f t="shared" si="16"/>
        <v>#VALUE!</v>
      </c>
      <c r="M93" s="553" t="e">
        <f t="shared" si="17"/>
        <v>#VALUE!</v>
      </c>
      <c r="N93" s="554" t="e">
        <f t="shared" si="18"/>
        <v>#VALUE!</v>
      </c>
      <c r="O93" s="555"/>
    </row>
    <row r="94" spans="1:15" x14ac:dyDescent="0.25">
      <c r="A94" s="548">
        <v>85</v>
      </c>
      <c r="B94" s="549">
        <v>46905</v>
      </c>
      <c r="C94" s="556" t="e">
        <f t="shared" si="11"/>
        <v>#VALUE!</v>
      </c>
      <c r="D94" s="557" t="e">
        <f t="shared" si="12"/>
        <v>#VALUE!</v>
      </c>
      <c r="E94" s="557" t="e">
        <f t="shared" si="13"/>
        <v>#VALUE!</v>
      </c>
      <c r="F94" s="558" t="e">
        <f t="shared" si="14"/>
        <v>#VALUE!</v>
      </c>
      <c r="G94" s="567" t="e">
        <f>$G$8*AVERAGE(C94:C105)</f>
        <v>#VALUE!</v>
      </c>
      <c r="H94" s="492"/>
      <c r="I94" s="548">
        <v>85</v>
      </c>
      <c r="J94" s="549">
        <v>46905</v>
      </c>
      <c r="K94" s="556" t="e">
        <f t="shared" si="15"/>
        <v>#VALUE!</v>
      </c>
      <c r="L94" s="557" t="e">
        <f t="shared" si="16"/>
        <v>#VALUE!</v>
      </c>
      <c r="M94" s="557" t="e">
        <f t="shared" si="17"/>
        <v>#VALUE!</v>
      </c>
      <c r="N94" s="558" t="e">
        <f t="shared" si="18"/>
        <v>#VALUE!</v>
      </c>
      <c r="O94" s="567" t="e">
        <f>$G$8*AVERAGE(K94:K105)</f>
        <v>#VALUE!</v>
      </c>
    </row>
    <row r="95" spans="1:15" x14ac:dyDescent="0.25">
      <c r="A95" s="548">
        <v>86</v>
      </c>
      <c r="B95" s="549">
        <v>46935</v>
      </c>
      <c r="C95" s="544" t="e">
        <f t="shared" si="11"/>
        <v>#VALUE!</v>
      </c>
      <c r="D95" s="545" t="e">
        <f t="shared" si="12"/>
        <v>#VALUE!</v>
      </c>
      <c r="E95" s="545" t="e">
        <f t="shared" si="13"/>
        <v>#VALUE!</v>
      </c>
      <c r="F95" s="546" t="e">
        <f t="shared" si="14"/>
        <v>#VALUE!</v>
      </c>
      <c r="G95" s="547"/>
      <c r="H95" s="492"/>
      <c r="I95" s="548">
        <v>86</v>
      </c>
      <c r="J95" s="549">
        <v>46935</v>
      </c>
      <c r="K95" s="544" t="e">
        <f t="shared" si="15"/>
        <v>#VALUE!</v>
      </c>
      <c r="L95" s="545" t="e">
        <f t="shared" si="16"/>
        <v>#VALUE!</v>
      </c>
      <c r="M95" s="545" t="e">
        <f t="shared" si="17"/>
        <v>#VALUE!</v>
      </c>
      <c r="N95" s="546" t="e">
        <f t="shared" si="18"/>
        <v>#VALUE!</v>
      </c>
      <c r="O95" s="547"/>
    </row>
    <row r="96" spans="1:15" x14ac:dyDescent="0.25">
      <c r="A96" s="548">
        <v>87</v>
      </c>
      <c r="B96" s="549">
        <v>46966</v>
      </c>
      <c r="C96" s="544" t="e">
        <f t="shared" si="11"/>
        <v>#VALUE!</v>
      </c>
      <c r="D96" s="545" t="e">
        <f t="shared" si="12"/>
        <v>#VALUE!</v>
      </c>
      <c r="E96" s="545" t="e">
        <f t="shared" si="13"/>
        <v>#VALUE!</v>
      </c>
      <c r="F96" s="546" t="e">
        <f t="shared" si="14"/>
        <v>#VALUE!</v>
      </c>
      <c r="G96" s="547"/>
      <c r="H96" s="492"/>
      <c r="I96" s="548">
        <v>87</v>
      </c>
      <c r="J96" s="549">
        <v>46966</v>
      </c>
      <c r="K96" s="544" t="e">
        <f t="shared" si="15"/>
        <v>#VALUE!</v>
      </c>
      <c r="L96" s="545" t="e">
        <f t="shared" si="16"/>
        <v>#VALUE!</v>
      </c>
      <c r="M96" s="545" t="e">
        <f t="shared" si="17"/>
        <v>#VALUE!</v>
      </c>
      <c r="N96" s="546" t="e">
        <f t="shared" si="18"/>
        <v>#VALUE!</v>
      </c>
      <c r="O96" s="547"/>
    </row>
    <row r="97" spans="1:15" x14ac:dyDescent="0.25">
      <c r="A97" s="548">
        <v>88</v>
      </c>
      <c r="B97" s="549">
        <v>46997</v>
      </c>
      <c r="C97" s="544" t="e">
        <f t="shared" si="11"/>
        <v>#VALUE!</v>
      </c>
      <c r="D97" s="545" t="e">
        <f t="shared" si="12"/>
        <v>#VALUE!</v>
      </c>
      <c r="E97" s="545" t="e">
        <f t="shared" si="13"/>
        <v>#VALUE!</v>
      </c>
      <c r="F97" s="546" t="e">
        <f t="shared" si="14"/>
        <v>#VALUE!</v>
      </c>
      <c r="G97" s="547"/>
      <c r="H97" s="492"/>
      <c r="I97" s="548">
        <v>88</v>
      </c>
      <c r="J97" s="549">
        <v>46997</v>
      </c>
      <c r="K97" s="544" t="e">
        <f t="shared" si="15"/>
        <v>#VALUE!</v>
      </c>
      <c r="L97" s="545" t="e">
        <f t="shared" si="16"/>
        <v>#VALUE!</v>
      </c>
      <c r="M97" s="545" t="e">
        <f t="shared" si="17"/>
        <v>#VALUE!</v>
      </c>
      <c r="N97" s="546" t="e">
        <f t="shared" si="18"/>
        <v>#VALUE!</v>
      </c>
      <c r="O97" s="547"/>
    </row>
    <row r="98" spans="1:15" x14ac:dyDescent="0.25">
      <c r="A98" s="548">
        <v>89</v>
      </c>
      <c r="B98" s="549">
        <v>47027</v>
      </c>
      <c r="C98" s="544" t="e">
        <f t="shared" si="11"/>
        <v>#VALUE!</v>
      </c>
      <c r="D98" s="545" t="e">
        <f t="shared" si="12"/>
        <v>#VALUE!</v>
      </c>
      <c r="E98" s="545" t="e">
        <f t="shared" si="13"/>
        <v>#VALUE!</v>
      </c>
      <c r="F98" s="546" t="e">
        <f t="shared" si="14"/>
        <v>#VALUE!</v>
      </c>
      <c r="G98" s="547"/>
      <c r="H98" s="492"/>
      <c r="I98" s="548">
        <v>89</v>
      </c>
      <c r="J98" s="549">
        <v>47027</v>
      </c>
      <c r="K98" s="544" t="e">
        <f t="shared" si="15"/>
        <v>#VALUE!</v>
      </c>
      <c r="L98" s="545" t="e">
        <f t="shared" si="16"/>
        <v>#VALUE!</v>
      </c>
      <c r="M98" s="545" t="e">
        <f t="shared" si="17"/>
        <v>#VALUE!</v>
      </c>
      <c r="N98" s="546" t="e">
        <f t="shared" si="18"/>
        <v>#VALUE!</v>
      </c>
      <c r="O98" s="547"/>
    </row>
    <row r="99" spans="1:15" x14ac:dyDescent="0.25">
      <c r="A99" s="548">
        <v>90</v>
      </c>
      <c r="B99" s="549">
        <v>47058</v>
      </c>
      <c r="C99" s="544" t="e">
        <f t="shared" si="11"/>
        <v>#VALUE!</v>
      </c>
      <c r="D99" s="545" t="e">
        <f t="shared" si="12"/>
        <v>#VALUE!</v>
      </c>
      <c r="E99" s="545" t="e">
        <f t="shared" si="13"/>
        <v>#VALUE!</v>
      </c>
      <c r="F99" s="546" t="e">
        <f t="shared" si="14"/>
        <v>#VALUE!</v>
      </c>
      <c r="G99" s="547"/>
      <c r="H99" s="492"/>
      <c r="I99" s="548">
        <v>90</v>
      </c>
      <c r="J99" s="549">
        <v>47058</v>
      </c>
      <c r="K99" s="544" t="e">
        <f t="shared" si="15"/>
        <v>#VALUE!</v>
      </c>
      <c r="L99" s="545" t="e">
        <f t="shared" si="16"/>
        <v>#VALUE!</v>
      </c>
      <c r="M99" s="545" t="e">
        <f t="shared" si="17"/>
        <v>#VALUE!</v>
      </c>
      <c r="N99" s="546" t="e">
        <f t="shared" si="18"/>
        <v>#VALUE!</v>
      </c>
      <c r="O99" s="547"/>
    </row>
    <row r="100" spans="1:15" x14ac:dyDescent="0.25">
      <c r="A100" s="548">
        <v>91</v>
      </c>
      <c r="B100" s="549">
        <v>47088</v>
      </c>
      <c r="C100" s="544" t="e">
        <f t="shared" si="11"/>
        <v>#VALUE!</v>
      </c>
      <c r="D100" s="545" t="e">
        <f t="shared" si="12"/>
        <v>#VALUE!</v>
      </c>
      <c r="E100" s="545" t="e">
        <f t="shared" si="13"/>
        <v>#VALUE!</v>
      </c>
      <c r="F100" s="546" t="e">
        <f t="shared" si="14"/>
        <v>#VALUE!</v>
      </c>
      <c r="G100" s="547"/>
      <c r="H100" s="492"/>
      <c r="I100" s="548">
        <v>91</v>
      </c>
      <c r="J100" s="549">
        <v>47088</v>
      </c>
      <c r="K100" s="544" t="e">
        <f t="shared" si="15"/>
        <v>#VALUE!</v>
      </c>
      <c r="L100" s="545" t="e">
        <f t="shared" si="16"/>
        <v>#VALUE!</v>
      </c>
      <c r="M100" s="545" t="e">
        <f t="shared" si="17"/>
        <v>#VALUE!</v>
      </c>
      <c r="N100" s="546" t="e">
        <f t="shared" si="18"/>
        <v>#VALUE!</v>
      </c>
      <c r="O100" s="547"/>
    </row>
    <row r="101" spans="1:15" x14ac:dyDescent="0.25">
      <c r="A101" s="548">
        <v>92</v>
      </c>
      <c r="B101" s="549">
        <v>47119</v>
      </c>
      <c r="C101" s="544" t="e">
        <f t="shared" si="11"/>
        <v>#VALUE!</v>
      </c>
      <c r="D101" s="545" t="e">
        <f t="shared" si="12"/>
        <v>#VALUE!</v>
      </c>
      <c r="E101" s="545" t="e">
        <f t="shared" si="13"/>
        <v>#VALUE!</v>
      </c>
      <c r="F101" s="546" t="e">
        <f t="shared" si="14"/>
        <v>#VALUE!</v>
      </c>
      <c r="G101" s="547"/>
      <c r="H101" s="492"/>
      <c r="I101" s="548">
        <v>92</v>
      </c>
      <c r="J101" s="549">
        <v>47119</v>
      </c>
      <c r="K101" s="544" t="e">
        <f t="shared" si="15"/>
        <v>#VALUE!</v>
      </c>
      <c r="L101" s="545" t="e">
        <f t="shared" si="16"/>
        <v>#VALUE!</v>
      </c>
      <c r="M101" s="545" t="e">
        <f t="shared" si="17"/>
        <v>#VALUE!</v>
      </c>
      <c r="N101" s="546" t="e">
        <f t="shared" si="18"/>
        <v>#VALUE!</v>
      </c>
      <c r="O101" s="547"/>
    </row>
    <row r="102" spans="1:15" x14ac:dyDescent="0.25">
      <c r="A102" s="548">
        <v>93</v>
      </c>
      <c r="B102" s="549">
        <v>47150</v>
      </c>
      <c r="C102" s="544" t="e">
        <f t="shared" si="11"/>
        <v>#VALUE!</v>
      </c>
      <c r="D102" s="545" t="e">
        <f t="shared" si="12"/>
        <v>#VALUE!</v>
      </c>
      <c r="E102" s="545" t="e">
        <f t="shared" si="13"/>
        <v>#VALUE!</v>
      </c>
      <c r="F102" s="546" t="e">
        <f t="shared" si="14"/>
        <v>#VALUE!</v>
      </c>
      <c r="G102" s="547"/>
      <c r="H102" s="492"/>
      <c r="I102" s="548">
        <v>93</v>
      </c>
      <c r="J102" s="549">
        <v>47150</v>
      </c>
      <c r="K102" s="544" t="e">
        <f t="shared" si="15"/>
        <v>#VALUE!</v>
      </c>
      <c r="L102" s="545" t="e">
        <f t="shared" si="16"/>
        <v>#VALUE!</v>
      </c>
      <c r="M102" s="545" t="e">
        <f t="shared" si="17"/>
        <v>#VALUE!</v>
      </c>
      <c r="N102" s="546" t="e">
        <f t="shared" si="18"/>
        <v>#VALUE!</v>
      </c>
      <c r="O102" s="547"/>
    </row>
    <row r="103" spans="1:15" x14ac:dyDescent="0.25">
      <c r="A103" s="548">
        <v>94</v>
      </c>
      <c r="B103" s="549">
        <v>47178</v>
      </c>
      <c r="C103" s="544" t="e">
        <f t="shared" si="11"/>
        <v>#VALUE!</v>
      </c>
      <c r="D103" s="545" t="e">
        <f t="shared" si="12"/>
        <v>#VALUE!</v>
      </c>
      <c r="E103" s="545" t="e">
        <f t="shared" si="13"/>
        <v>#VALUE!</v>
      </c>
      <c r="F103" s="546" t="e">
        <f t="shared" si="14"/>
        <v>#VALUE!</v>
      </c>
      <c r="G103" s="547"/>
      <c r="H103" s="492"/>
      <c r="I103" s="548">
        <v>94</v>
      </c>
      <c r="J103" s="549">
        <v>47178</v>
      </c>
      <c r="K103" s="544" t="e">
        <f t="shared" si="15"/>
        <v>#VALUE!</v>
      </c>
      <c r="L103" s="545" t="e">
        <f t="shared" si="16"/>
        <v>#VALUE!</v>
      </c>
      <c r="M103" s="545" t="e">
        <f t="shared" si="17"/>
        <v>#VALUE!</v>
      </c>
      <c r="N103" s="546" t="e">
        <f t="shared" si="18"/>
        <v>#VALUE!</v>
      </c>
      <c r="O103" s="547"/>
    </row>
    <row r="104" spans="1:15" x14ac:dyDescent="0.25">
      <c r="A104" s="548">
        <v>95</v>
      </c>
      <c r="B104" s="549">
        <v>47209</v>
      </c>
      <c r="C104" s="544" t="e">
        <f t="shared" si="11"/>
        <v>#VALUE!</v>
      </c>
      <c r="D104" s="545" t="e">
        <f t="shared" si="12"/>
        <v>#VALUE!</v>
      </c>
      <c r="E104" s="545" t="e">
        <f t="shared" si="13"/>
        <v>#VALUE!</v>
      </c>
      <c r="F104" s="546" t="e">
        <f t="shared" si="14"/>
        <v>#VALUE!</v>
      </c>
      <c r="G104" s="547"/>
      <c r="H104" s="492"/>
      <c r="I104" s="548">
        <v>95</v>
      </c>
      <c r="J104" s="549">
        <v>47209</v>
      </c>
      <c r="K104" s="544" t="e">
        <f t="shared" si="15"/>
        <v>#VALUE!</v>
      </c>
      <c r="L104" s="545" t="e">
        <f t="shared" si="16"/>
        <v>#VALUE!</v>
      </c>
      <c r="M104" s="545" t="e">
        <f t="shared" si="17"/>
        <v>#VALUE!</v>
      </c>
      <c r="N104" s="546" t="e">
        <f t="shared" si="18"/>
        <v>#VALUE!</v>
      </c>
      <c r="O104" s="547"/>
    </row>
    <row r="105" spans="1:15" ht="14.4" thickBot="1" x14ac:dyDescent="0.3">
      <c r="A105" s="548">
        <v>96</v>
      </c>
      <c r="B105" s="549">
        <v>47239</v>
      </c>
      <c r="C105" s="559" t="e">
        <f t="shared" si="11"/>
        <v>#VALUE!</v>
      </c>
      <c r="D105" s="560" t="e">
        <f t="shared" si="12"/>
        <v>#VALUE!</v>
      </c>
      <c r="E105" s="560" t="e">
        <f t="shared" si="13"/>
        <v>#VALUE!</v>
      </c>
      <c r="F105" s="561" t="e">
        <f t="shared" si="14"/>
        <v>#VALUE!</v>
      </c>
      <c r="G105" s="547"/>
      <c r="H105" s="492"/>
      <c r="I105" s="548">
        <v>96</v>
      </c>
      <c r="J105" s="549">
        <v>47239</v>
      </c>
      <c r="K105" s="559" t="e">
        <f t="shared" si="15"/>
        <v>#VALUE!</v>
      </c>
      <c r="L105" s="560" t="e">
        <f t="shared" si="16"/>
        <v>#VALUE!</v>
      </c>
      <c r="M105" s="560" t="e">
        <f t="shared" si="17"/>
        <v>#VALUE!</v>
      </c>
      <c r="N105" s="561" t="e">
        <f t="shared" si="18"/>
        <v>#VALUE!</v>
      </c>
      <c r="O105" s="547"/>
    </row>
    <row r="106" spans="1:15" x14ac:dyDescent="0.25">
      <c r="A106" s="562">
        <v>97</v>
      </c>
      <c r="B106" s="563">
        <v>47270</v>
      </c>
      <c r="C106" s="564" t="e">
        <f t="shared" si="11"/>
        <v>#VALUE!</v>
      </c>
      <c r="D106" s="565" t="e">
        <f t="shared" si="12"/>
        <v>#VALUE!</v>
      </c>
      <c r="E106" s="565" t="e">
        <f t="shared" si="13"/>
        <v>#VALUE!</v>
      </c>
      <c r="F106" s="566" t="e">
        <f t="shared" si="14"/>
        <v>#VALUE!</v>
      </c>
      <c r="G106" s="567" t="e">
        <f>$G$8*AVERAGE(C106:C117)</f>
        <v>#VALUE!</v>
      </c>
      <c r="H106" s="492"/>
      <c r="I106" s="562">
        <v>97</v>
      </c>
      <c r="J106" s="563">
        <v>47270</v>
      </c>
      <c r="K106" s="564" t="e">
        <f t="shared" si="15"/>
        <v>#VALUE!</v>
      </c>
      <c r="L106" s="565" t="e">
        <f t="shared" si="16"/>
        <v>#VALUE!</v>
      </c>
      <c r="M106" s="565" t="e">
        <f t="shared" si="17"/>
        <v>#VALUE!</v>
      </c>
      <c r="N106" s="566" t="e">
        <f t="shared" si="18"/>
        <v>#VALUE!</v>
      </c>
      <c r="O106" s="567" t="e">
        <f>$G$8*AVERAGE(K106:K117)</f>
        <v>#VALUE!</v>
      </c>
    </row>
    <row r="107" spans="1:15" x14ac:dyDescent="0.25">
      <c r="A107" s="548">
        <v>98</v>
      </c>
      <c r="B107" s="549">
        <v>47300</v>
      </c>
      <c r="C107" s="544" t="e">
        <f t="shared" si="11"/>
        <v>#VALUE!</v>
      </c>
      <c r="D107" s="545" t="e">
        <f t="shared" si="12"/>
        <v>#VALUE!</v>
      </c>
      <c r="E107" s="545" t="e">
        <f t="shared" si="13"/>
        <v>#VALUE!</v>
      </c>
      <c r="F107" s="546" t="e">
        <f t="shared" si="14"/>
        <v>#VALUE!</v>
      </c>
      <c r="G107" s="547"/>
      <c r="H107" s="492"/>
      <c r="I107" s="548">
        <v>98</v>
      </c>
      <c r="J107" s="549">
        <v>47300</v>
      </c>
      <c r="K107" s="544" t="e">
        <f t="shared" si="15"/>
        <v>#VALUE!</v>
      </c>
      <c r="L107" s="545" t="e">
        <f t="shared" si="16"/>
        <v>#VALUE!</v>
      </c>
      <c r="M107" s="545" t="e">
        <f t="shared" si="17"/>
        <v>#VALUE!</v>
      </c>
      <c r="N107" s="546" t="e">
        <f t="shared" si="18"/>
        <v>#VALUE!</v>
      </c>
      <c r="O107" s="547"/>
    </row>
    <row r="108" spans="1:15" x14ac:dyDescent="0.25">
      <c r="A108" s="548">
        <v>99</v>
      </c>
      <c r="B108" s="549">
        <v>47331</v>
      </c>
      <c r="C108" s="544" t="e">
        <f t="shared" si="11"/>
        <v>#VALUE!</v>
      </c>
      <c r="D108" s="545" t="e">
        <f t="shared" si="12"/>
        <v>#VALUE!</v>
      </c>
      <c r="E108" s="545" t="e">
        <f t="shared" si="13"/>
        <v>#VALUE!</v>
      </c>
      <c r="F108" s="546" t="e">
        <f t="shared" si="14"/>
        <v>#VALUE!</v>
      </c>
      <c r="G108" s="547"/>
      <c r="H108" s="492"/>
      <c r="I108" s="548">
        <v>99</v>
      </c>
      <c r="J108" s="549">
        <v>47331</v>
      </c>
      <c r="K108" s="544" t="e">
        <f t="shared" si="15"/>
        <v>#VALUE!</v>
      </c>
      <c r="L108" s="545" t="e">
        <f t="shared" si="16"/>
        <v>#VALUE!</v>
      </c>
      <c r="M108" s="545" t="e">
        <f t="shared" si="17"/>
        <v>#VALUE!</v>
      </c>
      <c r="N108" s="546" t="e">
        <f t="shared" si="18"/>
        <v>#VALUE!</v>
      </c>
      <c r="O108" s="547"/>
    </row>
    <row r="109" spans="1:15" x14ac:dyDescent="0.25">
      <c r="A109" s="548">
        <v>100</v>
      </c>
      <c r="B109" s="549">
        <v>47362</v>
      </c>
      <c r="C109" s="544" t="e">
        <f t="shared" si="11"/>
        <v>#VALUE!</v>
      </c>
      <c r="D109" s="545" t="e">
        <f t="shared" si="12"/>
        <v>#VALUE!</v>
      </c>
      <c r="E109" s="545" t="e">
        <f t="shared" si="13"/>
        <v>#VALUE!</v>
      </c>
      <c r="F109" s="546" t="e">
        <f t="shared" si="14"/>
        <v>#VALUE!</v>
      </c>
      <c r="G109" s="547"/>
      <c r="H109" s="492"/>
      <c r="I109" s="548">
        <v>100</v>
      </c>
      <c r="J109" s="549">
        <v>47362</v>
      </c>
      <c r="K109" s="544" t="e">
        <f t="shared" si="15"/>
        <v>#VALUE!</v>
      </c>
      <c r="L109" s="545" t="e">
        <f t="shared" si="16"/>
        <v>#VALUE!</v>
      </c>
      <c r="M109" s="545" t="e">
        <f t="shared" si="17"/>
        <v>#VALUE!</v>
      </c>
      <c r="N109" s="546" t="e">
        <f t="shared" si="18"/>
        <v>#VALUE!</v>
      </c>
      <c r="O109" s="547"/>
    </row>
    <row r="110" spans="1:15" x14ac:dyDescent="0.25">
      <c r="A110" s="548">
        <v>101</v>
      </c>
      <c r="B110" s="549">
        <v>47392</v>
      </c>
      <c r="C110" s="544" t="e">
        <f t="shared" si="11"/>
        <v>#VALUE!</v>
      </c>
      <c r="D110" s="545" t="e">
        <f t="shared" si="12"/>
        <v>#VALUE!</v>
      </c>
      <c r="E110" s="545" t="e">
        <f t="shared" si="13"/>
        <v>#VALUE!</v>
      </c>
      <c r="F110" s="546" t="e">
        <f t="shared" si="14"/>
        <v>#VALUE!</v>
      </c>
      <c r="G110" s="547"/>
      <c r="H110" s="492"/>
      <c r="I110" s="548">
        <v>101</v>
      </c>
      <c r="J110" s="549">
        <v>47392</v>
      </c>
      <c r="K110" s="544" t="e">
        <f t="shared" si="15"/>
        <v>#VALUE!</v>
      </c>
      <c r="L110" s="545" t="e">
        <f t="shared" si="16"/>
        <v>#VALUE!</v>
      </c>
      <c r="M110" s="545" t="e">
        <f t="shared" si="17"/>
        <v>#VALUE!</v>
      </c>
      <c r="N110" s="546" t="e">
        <f t="shared" si="18"/>
        <v>#VALUE!</v>
      </c>
      <c r="O110" s="547"/>
    </row>
    <row r="111" spans="1:15" x14ac:dyDescent="0.25">
      <c r="A111" s="548">
        <v>102</v>
      </c>
      <c r="B111" s="549">
        <v>47423</v>
      </c>
      <c r="C111" s="544" t="e">
        <f t="shared" si="11"/>
        <v>#VALUE!</v>
      </c>
      <c r="D111" s="545" t="e">
        <f t="shared" si="12"/>
        <v>#VALUE!</v>
      </c>
      <c r="E111" s="545" t="e">
        <f t="shared" si="13"/>
        <v>#VALUE!</v>
      </c>
      <c r="F111" s="546" t="e">
        <f t="shared" si="14"/>
        <v>#VALUE!</v>
      </c>
      <c r="G111" s="547"/>
      <c r="H111" s="492"/>
      <c r="I111" s="548">
        <v>102</v>
      </c>
      <c r="J111" s="549">
        <v>47423</v>
      </c>
      <c r="K111" s="544" t="e">
        <f t="shared" si="15"/>
        <v>#VALUE!</v>
      </c>
      <c r="L111" s="545" t="e">
        <f t="shared" si="16"/>
        <v>#VALUE!</v>
      </c>
      <c r="M111" s="545" t="e">
        <f t="shared" si="17"/>
        <v>#VALUE!</v>
      </c>
      <c r="N111" s="546" t="e">
        <f t="shared" si="18"/>
        <v>#VALUE!</v>
      </c>
      <c r="O111" s="547"/>
    </row>
    <row r="112" spans="1:15" x14ac:dyDescent="0.25">
      <c r="A112" s="548">
        <v>103</v>
      </c>
      <c r="B112" s="549">
        <v>47453</v>
      </c>
      <c r="C112" s="544" t="e">
        <f t="shared" si="11"/>
        <v>#VALUE!</v>
      </c>
      <c r="D112" s="545" t="e">
        <f t="shared" si="12"/>
        <v>#VALUE!</v>
      </c>
      <c r="E112" s="545" t="e">
        <f t="shared" si="13"/>
        <v>#VALUE!</v>
      </c>
      <c r="F112" s="546" t="e">
        <f t="shared" si="14"/>
        <v>#VALUE!</v>
      </c>
      <c r="G112" s="547"/>
      <c r="H112" s="492"/>
      <c r="I112" s="548">
        <v>103</v>
      </c>
      <c r="J112" s="549">
        <v>47453</v>
      </c>
      <c r="K112" s="544" t="e">
        <f t="shared" si="15"/>
        <v>#VALUE!</v>
      </c>
      <c r="L112" s="545" t="e">
        <f t="shared" si="16"/>
        <v>#VALUE!</v>
      </c>
      <c r="M112" s="545" t="e">
        <f t="shared" si="17"/>
        <v>#VALUE!</v>
      </c>
      <c r="N112" s="546" t="e">
        <f t="shared" si="18"/>
        <v>#VALUE!</v>
      </c>
      <c r="O112" s="547"/>
    </row>
    <row r="113" spans="1:15" x14ac:dyDescent="0.25">
      <c r="A113" s="548">
        <v>104</v>
      </c>
      <c r="B113" s="549">
        <v>47484</v>
      </c>
      <c r="C113" s="544" t="e">
        <f t="shared" si="11"/>
        <v>#VALUE!</v>
      </c>
      <c r="D113" s="545" t="e">
        <f t="shared" si="12"/>
        <v>#VALUE!</v>
      </c>
      <c r="E113" s="545" t="e">
        <f t="shared" si="13"/>
        <v>#VALUE!</v>
      </c>
      <c r="F113" s="546" t="e">
        <f t="shared" si="14"/>
        <v>#VALUE!</v>
      </c>
      <c r="G113" s="547"/>
      <c r="H113" s="492"/>
      <c r="I113" s="548">
        <v>104</v>
      </c>
      <c r="J113" s="549">
        <v>47484</v>
      </c>
      <c r="K113" s="544" t="e">
        <f t="shared" si="15"/>
        <v>#VALUE!</v>
      </c>
      <c r="L113" s="545" t="e">
        <f t="shared" si="16"/>
        <v>#VALUE!</v>
      </c>
      <c r="M113" s="545" t="e">
        <f t="shared" si="17"/>
        <v>#VALUE!</v>
      </c>
      <c r="N113" s="546" t="e">
        <f t="shared" si="18"/>
        <v>#VALUE!</v>
      </c>
      <c r="O113" s="547"/>
    </row>
    <row r="114" spans="1:15" x14ac:dyDescent="0.25">
      <c r="A114" s="548">
        <v>105</v>
      </c>
      <c r="B114" s="549">
        <v>47515</v>
      </c>
      <c r="C114" s="544" t="e">
        <f t="shared" si="11"/>
        <v>#VALUE!</v>
      </c>
      <c r="D114" s="545" t="e">
        <f t="shared" si="12"/>
        <v>#VALUE!</v>
      </c>
      <c r="E114" s="545" t="e">
        <f t="shared" si="13"/>
        <v>#VALUE!</v>
      </c>
      <c r="F114" s="546" t="e">
        <f t="shared" si="14"/>
        <v>#VALUE!</v>
      </c>
      <c r="G114" s="547"/>
      <c r="H114" s="492"/>
      <c r="I114" s="548">
        <v>105</v>
      </c>
      <c r="J114" s="549">
        <v>47515</v>
      </c>
      <c r="K114" s="544" t="e">
        <f t="shared" si="15"/>
        <v>#VALUE!</v>
      </c>
      <c r="L114" s="545" t="e">
        <f t="shared" si="16"/>
        <v>#VALUE!</v>
      </c>
      <c r="M114" s="545" t="e">
        <f t="shared" si="17"/>
        <v>#VALUE!</v>
      </c>
      <c r="N114" s="546" t="e">
        <f t="shared" si="18"/>
        <v>#VALUE!</v>
      </c>
      <c r="O114" s="547"/>
    </row>
    <row r="115" spans="1:15" x14ac:dyDescent="0.25">
      <c r="A115" s="548">
        <v>106</v>
      </c>
      <c r="B115" s="549">
        <v>47543</v>
      </c>
      <c r="C115" s="544" t="e">
        <f t="shared" si="11"/>
        <v>#VALUE!</v>
      </c>
      <c r="D115" s="545" t="e">
        <f t="shared" si="12"/>
        <v>#VALUE!</v>
      </c>
      <c r="E115" s="545" t="e">
        <f t="shared" si="13"/>
        <v>#VALUE!</v>
      </c>
      <c r="F115" s="546" t="e">
        <f t="shared" si="14"/>
        <v>#VALUE!</v>
      </c>
      <c r="G115" s="547"/>
      <c r="H115" s="492"/>
      <c r="I115" s="548">
        <v>106</v>
      </c>
      <c r="J115" s="549">
        <v>47543</v>
      </c>
      <c r="K115" s="544" t="e">
        <f t="shared" si="15"/>
        <v>#VALUE!</v>
      </c>
      <c r="L115" s="545" t="e">
        <f t="shared" si="16"/>
        <v>#VALUE!</v>
      </c>
      <c r="M115" s="545" t="e">
        <f t="shared" si="17"/>
        <v>#VALUE!</v>
      </c>
      <c r="N115" s="546" t="e">
        <f t="shared" si="18"/>
        <v>#VALUE!</v>
      </c>
      <c r="O115" s="547"/>
    </row>
    <row r="116" spans="1:15" x14ac:dyDescent="0.25">
      <c r="A116" s="548">
        <v>107</v>
      </c>
      <c r="B116" s="549">
        <v>47574</v>
      </c>
      <c r="C116" s="544" t="e">
        <f t="shared" si="11"/>
        <v>#VALUE!</v>
      </c>
      <c r="D116" s="545" t="e">
        <f t="shared" si="12"/>
        <v>#VALUE!</v>
      </c>
      <c r="E116" s="545" t="e">
        <f t="shared" si="13"/>
        <v>#VALUE!</v>
      </c>
      <c r="F116" s="546" t="e">
        <f t="shared" si="14"/>
        <v>#VALUE!</v>
      </c>
      <c r="G116" s="547"/>
      <c r="H116" s="492"/>
      <c r="I116" s="548">
        <v>107</v>
      </c>
      <c r="J116" s="549">
        <v>47574</v>
      </c>
      <c r="K116" s="544" t="e">
        <f t="shared" si="15"/>
        <v>#VALUE!</v>
      </c>
      <c r="L116" s="545" t="e">
        <f t="shared" si="16"/>
        <v>#VALUE!</v>
      </c>
      <c r="M116" s="545" t="e">
        <f t="shared" si="17"/>
        <v>#VALUE!</v>
      </c>
      <c r="N116" s="546" t="e">
        <f t="shared" si="18"/>
        <v>#VALUE!</v>
      </c>
      <c r="O116" s="547"/>
    </row>
    <row r="117" spans="1:15" ht="14.4" thickBot="1" x14ac:dyDescent="0.3">
      <c r="A117" s="550">
        <v>108</v>
      </c>
      <c r="B117" s="551">
        <v>47604</v>
      </c>
      <c r="C117" s="552" t="e">
        <f t="shared" si="11"/>
        <v>#VALUE!</v>
      </c>
      <c r="D117" s="553" t="e">
        <f t="shared" si="12"/>
        <v>#VALUE!</v>
      </c>
      <c r="E117" s="553" t="e">
        <f t="shared" si="13"/>
        <v>#VALUE!</v>
      </c>
      <c r="F117" s="554" t="e">
        <f t="shared" si="14"/>
        <v>#VALUE!</v>
      </c>
      <c r="G117" s="555"/>
      <c r="H117" s="492"/>
      <c r="I117" s="550">
        <v>108</v>
      </c>
      <c r="J117" s="551">
        <v>47604</v>
      </c>
      <c r="K117" s="552" t="e">
        <f t="shared" si="15"/>
        <v>#VALUE!</v>
      </c>
      <c r="L117" s="553" t="e">
        <f t="shared" si="16"/>
        <v>#VALUE!</v>
      </c>
      <c r="M117" s="553" t="e">
        <f t="shared" si="17"/>
        <v>#VALUE!</v>
      </c>
      <c r="N117" s="554" t="e">
        <f t="shared" si="18"/>
        <v>#VALUE!</v>
      </c>
      <c r="O117" s="555"/>
    </row>
    <row r="118" spans="1:15" x14ac:dyDescent="0.25">
      <c r="A118" s="548">
        <v>109</v>
      </c>
      <c r="B118" s="549">
        <v>47635</v>
      </c>
      <c r="C118" s="556" t="e">
        <f t="shared" si="11"/>
        <v>#VALUE!</v>
      </c>
      <c r="D118" s="557" t="e">
        <f t="shared" si="12"/>
        <v>#VALUE!</v>
      </c>
      <c r="E118" s="557" t="e">
        <f t="shared" si="13"/>
        <v>#VALUE!</v>
      </c>
      <c r="F118" s="558" t="e">
        <f t="shared" si="14"/>
        <v>#VALUE!</v>
      </c>
      <c r="G118" s="567" t="e">
        <f>$G$8*AVERAGE(C118:C129)</f>
        <v>#VALUE!</v>
      </c>
      <c r="H118" s="492"/>
      <c r="I118" s="548">
        <v>109</v>
      </c>
      <c r="J118" s="549">
        <v>47635</v>
      </c>
      <c r="K118" s="556" t="e">
        <f t="shared" si="15"/>
        <v>#VALUE!</v>
      </c>
      <c r="L118" s="557" t="e">
        <f t="shared" si="16"/>
        <v>#VALUE!</v>
      </c>
      <c r="M118" s="557" t="e">
        <f t="shared" si="17"/>
        <v>#VALUE!</v>
      </c>
      <c r="N118" s="558" t="e">
        <f t="shared" si="18"/>
        <v>#VALUE!</v>
      </c>
      <c r="O118" s="567" t="e">
        <f>$G$8*AVERAGE(K118:K129)</f>
        <v>#VALUE!</v>
      </c>
    </row>
    <row r="119" spans="1:15" x14ac:dyDescent="0.25">
      <c r="A119" s="548">
        <v>110</v>
      </c>
      <c r="B119" s="549">
        <v>47665</v>
      </c>
      <c r="C119" s="544" t="e">
        <f t="shared" si="11"/>
        <v>#VALUE!</v>
      </c>
      <c r="D119" s="545" t="e">
        <f t="shared" si="12"/>
        <v>#VALUE!</v>
      </c>
      <c r="E119" s="545" t="e">
        <f t="shared" si="13"/>
        <v>#VALUE!</v>
      </c>
      <c r="F119" s="546" t="e">
        <f t="shared" si="14"/>
        <v>#VALUE!</v>
      </c>
      <c r="G119" s="547"/>
      <c r="H119" s="492"/>
      <c r="I119" s="548">
        <v>110</v>
      </c>
      <c r="J119" s="549">
        <v>47665</v>
      </c>
      <c r="K119" s="544" t="e">
        <f t="shared" si="15"/>
        <v>#VALUE!</v>
      </c>
      <c r="L119" s="545" t="e">
        <f t="shared" si="16"/>
        <v>#VALUE!</v>
      </c>
      <c r="M119" s="545" t="e">
        <f t="shared" si="17"/>
        <v>#VALUE!</v>
      </c>
      <c r="N119" s="546" t="e">
        <f t="shared" si="18"/>
        <v>#VALUE!</v>
      </c>
      <c r="O119" s="547"/>
    </row>
    <row r="120" spans="1:15" x14ac:dyDescent="0.25">
      <c r="A120" s="548">
        <v>111</v>
      </c>
      <c r="B120" s="549">
        <v>47696</v>
      </c>
      <c r="C120" s="544" t="e">
        <f t="shared" si="11"/>
        <v>#VALUE!</v>
      </c>
      <c r="D120" s="545" t="e">
        <f t="shared" si="12"/>
        <v>#VALUE!</v>
      </c>
      <c r="E120" s="545" t="e">
        <f t="shared" si="13"/>
        <v>#VALUE!</v>
      </c>
      <c r="F120" s="546" t="e">
        <f t="shared" si="14"/>
        <v>#VALUE!</v>
      </c>
      <c r="G120" s="547"/>
      <c r="H120" s="492"/>
      <c r="I120" s="548">
        <v>111</v>
      </c>
      <c r="J120" s="549">
        <v>47696</v>
      </c>
      <c r="K120" s="544" t="e">
        <f t="shared" si="15"/>
        <v>#VALUE!</v>
      </c>
      <c r="L120" s="545" t="e">
        <f t="shared" si="16"/>
        <v>#VALUE!</v>
      </c>
      <c r="M120" s="545" t="e">
        <f t="shared" si="17"/>
        <v>#VALUE!</v>
      </c>
      <c r="N120" s="546" t="e">
        <f t="shared" si="18"/>
        <v>#VALUE!</v>
      </c>
      <c r="O120" s="547"/>
    </row>
    <row r="121" spans="1:15" x14ac:dyDescent="0.25">
      <c r="A121" s="548">
        <v>112</v>
      </c>
      <c r="B121" s="549">
        <v>47727</v>
      </c>
      <c r="C121" s="544" t="e">
        <f t="shared" si="11"/>
        <v>#VALUE!</v>
      </c>
      <c r="D121" s="545" t="e">
        <f t="shared" si="12"/>
        <v>#VALUE!</v>
      </c>
      <c r="E121" s="545" t="e">
        <f t="shared" si="13"/>
        <v>#VALUE!</v>
      </c>
      <c r="F121" s="546" t="e">
        <f t="shared" si="14"/>
        <v>#VALUE!</v>
      </c>
      <c r="G121" s="547"/>
      <c r="H121" s="492"/>
      <c r="I121" s="548">
        <v>112</v>
      </c>
      <c r="J121" s="549">
        <v>47727</v>
      </c>
      <c r="K121" s="544" t="e">
        <f t="shared" si="15"/>
        <v>#VALUE!</v>
      </c>
      <c r="L121" s="545" t="e">
        <f t="shared" si="16"/>
        <v>#VALUE!</v>
      </c>
      <c r="M121" s="545" t="e">
        <f t="shared" si="17"/>
        <v>#VALUE!</v>
      </c>
      <c r="N121" s="546" t="e">
        <f t="shared" si="18"/>
        <v>#VALUE!</v>
      </c>
      <c r="O121" s="547"/>
    </row>
    <row r="122" spans="1:15" x14ac:dyDescent="0.25">
      <c r="A122" s="548">
        <v>113</v>
      </c>
      <c r="B122" s="549">
        <v>47757</v>
      </c>
      <c r="C122" s="544" t="e">
        <f t="shared" si="11"/>
        <v>#VALUE!</v>
      </c>
      <c r="D122" s="545" t="e">
        <f t="shared" si="12"/>
        <v>#VALUE!</v>
      </c>
      <c r="E122" s="545" t="e">
        <f t="shared" si="13"/>
        <v>#VALUE!</v>
      </c>
      <c r="F122" s="546" t="e">
        <f t="shared" si="14"/>
        <v>#VALUE!</v>
      </c>
      <c r="G122" s="547"/>
      <c r="H122" s="492"/>
      <c r="I122" s="548">
        <v>113</v>
      </c>
      <c r="J122" s="549">
        <v>47757</v>
      </c>
      <c r="K122" s="544" t="e">
        <f t="shared" si="15"/>
        <v>#VALUE!</v>
      </c>
      <c r="L122" s="545" t="e">
        <f t="shared" si="16"/>
        <v>#VALUE!</v>
      </c>
      <c r="M122" s="545" t="e">
        <f t="shared" si="17"/>
        <v>#VALUE!</v>
      </c>
      <c r="N122" s="546" t="e">
        <f t="shared" si="18"/>
        <v>#VALUE!</v>
      </c>
      <c r="O122" s="547"/>
    </row>
    <row r="123" spans="1:15" x14ac:dyDescent="0.25">
      <c r="A123" s="548">
        <v>114</v>
      </c>
      <c r="B123" s="549">
        <v>47788</v>
      </c>
      <c r="C123" s="544" t="e">
        <f t="shared" si="11"/>
        <v>#VALUE!</v>
      </c>
      <c r="D123" s="545" t="e">
        <f t="shared" si="12"/>
        <v>#VALUE!</v>
      </c>
      <c r="E123" s="545" t="e">
        <f t="shared" si="13"/>
        <v>#VALUE!</v>
      </c>
      <c r="F123" s="546" t="e">
        <f t="shared" si="14"/>
        <v>#VALUE!</v>
      </c>
      <c r="G123" s="547"/>
      <c r="H123" s="492"/>
      <c r="I123" s="548">
        <v>114</v>
      </c>
      <c r="J123" s="549">
        <v>47788</v>
      </c>
      <c r="K123" s="544" t="e">
        <f t="shared" si="15"/>
        <v>#VALUE!</v>
      </c>
      <c r="L123" s="545" t="e">
        <f t="shared" si="16"/>
        <v>#VALUE!</v>
      </c>
      <c r="M123" s="545" t="e">
        <f t="shared" si="17"/>
        <v>#VALUE!</v>
      </c>
      <c r="N123" s="546" t="e">
        <f t="shared" si="18"/>
        <v>#VALUE!</v>
      </c>
      <c r="O123" s="547"/>
    </row>
    <row r="124" spans="1:15" x14ac:dyDescent="0.25">
      <c r="A124" s="548">
        <v>115</v>
      </c>
      <c r="B124" s="549">
        <v>47818</v>
      </c>
      <c r="C124" s="544" t="e">
        <f t="shared" si="11"/>
        <v>#VALUE!</v>
      </c>
      <c r="D124" s="545" t="e">
        <f t="shared" si="12"/>
        <v>#VALUE!</v>
      </c>
      <c r="E124" s="545" t="e">
        <f t="shared" si="13"/>
        <v>#VALUE!</v>
      </c>
      <c r="F124" s="546" t="e">
        <f t="shared" si="14"/>
        <v>#VALUE!</v>
      </c>
      <c r="G124" s="547"/>
      <c r="H124" s="492"/>
      <c r="I124" s="548">
        <v>115</v>
      </c>
      <c r="J124" s="549">
        <v>47818</v>
      </c>
      <c r="K124" s="544" t="e">
        <f t="shared" si="15"/>
        <v>#VALUE!</v>
      </c>
      <c r="L124" s="545" t="e">
        <f t="shared" si="16"/>
        <v>#VALUE!</v>
      </c>
      <c r="M124" s="545" t="e">
        <f t="shared" si="17"/>
        <v>#VALUE!</v>
      </c>
      <c r="N124" s="546" t="e">
        <f t="shared" si="18"/>
        <v>#VALUE!</v>
      </c>
      <c r="O124" s="547"/>
    </row>
    <row r="125" spans="1:15" x14ac:dyDescent="0.25">
      <c r="A125" s="548">
        <v>116</v>
      </c>
      <c r="B125" s="549">
        <v>47849</v>
      </c>
      <c r="C125" s="544" t="e">
        <f t="shared" si="11"/>
        <v>#VALUE!</v>
      </c>
      <c r="D125" s="545" t="e">
        <f t="shared" si="12"/>
        <v>#VALUE!</v>
      </c>
      <c r="E125" s="545" t="e">
        <f t="shared" si="13"/>
        <v>#VALUE!</v>
      </c>
      <c r="F125" s="546" t="e">
        <f t="shared" si="14"/>
        <v>#VALUE!</v>
      </c>
      <c r="G125" s="547"/>
      <c r="H125" s="492"/>
      <c r="I125" s="548">
        <v>116</v>
      </c>
      <c r="J125" s="549">
        <v>47849</v>
      </c>
      <c r="K125" s="544" t="e">
        <f t="shared" si="15"/>
        <v>#VALUE!</v>
      </c>
      <c r="L125" s="545" t="e">
        <f t="shared" si="16"/>
        <v>#VALUE!</v>
      </c>
      <c r="M125" s="545" t="e">
        <f t="shared" si="17"/>
        <v>#VALUE!</v>
      </c>
      <c r="N125" s="546" t="e">
        <f t="shared" si="18"/>
        <v>#VALUE!</v>
      </c>
      <c r="O125" s="547"/>
    </row>
    <row r="126" spans="1:15" x14ac:dyDescent="0.25">
      <c r="A126" s="548">
        <v>117</v>
      </c>
      <c r="B126" s="549">
        <v>47880</v>
      </c>
      <c r="C126" s="544" t="e">
        <f t="shared" si="11"/>
        <v>#VALUE!</v>
      </c>
      <c r="D126" s="545" t="e">
        <f t="shared" si="12"/>
        <v>#VALUE!</v>
      </c>
      <c r="E126" s="545" t="e">
        <f t="shared" si="13"/>
        <v>#VALUE!</v>
      </c>
      <c r="F126" s="546" t="e">
        <f t="shared" si="14"/>
        <v>#VALUE!</v>
      </c>
      <c r="G126" s="547"/>
      <c r="H126" s="492"/>
      <c r="I126" s="548">
        <v>117</v>
      </c>
      <c r="J126" s="549">
        <v>47880</v>
      </c>
      <c r="K126" s="544" t="e">
        <f t="shared" si="15"/>
        <v>#VALUE!</v>
      </c>
      <c r="L126" s="545" t="e">
        <f t="shared" si="16"/>
        <v>#VALUE!</v>
      </c>
      <c r="M126" s="545" t="e">
        <f t="shared" si="17"/>
        <v>#VALUE!</v>
      </c>
      <c r="N126" s="546" t="e">
        <f t="shared" si="18"/>
        <v>#VALUE!</v>
      </c>
      <c r="O126" s="547"/>
    </row>
    <row r="127" spans="1:15" x14ac:dyDescent="0.25">
      <c r="A127" s="548">
        <v>118</v>
      </c>
      <c r="B127" s="549">
        <v>47908</v>
      </c>
      <c r="C127" s="544" t="e">
        <f t="shared" si="11"/>
        <v>#VALUE!</v>
      </c>
      <c r="D127" s="545" t="e">
        <f t="shared" si="12"/>
        <v>#VALUE!</v>
      </c>
      <c r="E127" s="545" t="e">
        <f t="shared" si="13"/>
        <v>#VALUE!</v>
      </c>
      <c r="F127" s="546" t="e">
        <f t="shared" si="14"/>
        <v>#VALUE!</v>
      </c>
      <c r="G127" s="547"/>
      <c r="H127" s="492"/>
      <c r="I127" s="548">
        <v>118</v>
      </c>
      <c r="J127" s="549">
        <v>47908</v>
      </c>
      <c r="K127" s="544" t="e">
        <f t="shared" si="15"/>
        <v>#VALUE!</v>
      </c>
      <c r="L127" s="545" t="e">
        <f t="shared" si="16"/>
        <v>#VALUE!</v>
      </c>
      <c r="M127" s="545" t="e">
        <f t="shared" si="17"/>
        <v>#VALUE!</v>
      </c>
      <c r="N127" s="546" t="e">
        <f t="shared" si="18"/>
        <v>#VALUE!</v>
      </c>
      <c r="O127" s="547"/>
    </row>
    <row r="128" spans="1:15" x14ac:dyDescent="0.25">
      <c r="A128" s="548">
        <v>119</v>
      </c>
      <c r="B128" s="549">
        <v>47939</v>
      </c>
      <c r="C128" s="544" t="e">
        <f t="shared" si="11"/>
        <v>#VALUE!</v>
      </c>
      <c r="D128" s="545" t="e">
        <f t="shared" si="12"/>
        <v>#VALUE!</v>
      </c>
      <c r="E128" s="545" t="e">
        <f t="shared" si="13"/>
        <v>#VALUE!</v>
      </c>
      <c r="F128" s="546" t="e">
        <f t="shared" si="14"/>
        <v>#VALUE!</v>
      </c>
      <c r="G128" s="547"/>
      <c r="H128" s="492"/>
      <c r="I128" s="548">
        <v>119</v>
      </c>
      <c r="J128" s="549">
        <v>47939</v>
      </c>
      <c r="K128" s="544" t="e">
        <f t="shared" si="15"/>
        <v>#VALUE!</v>
      </c>
      <c r="L128" s="545" t="e">
        <f t="shared" si="16"/>
        <v>#VALUE!</v>
      </c>
      <c r="M128" s="545" t="e">
        <f t="shared" si="17"/>
        <v>#VALUE!</v>
      </c>
      <c r="N128" s="546" t="e">
        <f t="shared" si="18"/>
        <v>#VALUE!</v>
      </c>
      <c r="O128" s="547"/>
    </row>
    <row r="129" spans="1:15" ht="14.4" thickBot="1" x14ac:dyDescent="0.3">
      <c r="A129" s="548">
        <v>120</v>
      </c>
      <c r="B129" s="549">
        <v>47969</v>
      </c>
      <c r="C129" s="559" t="e">
        <f t="shared" si="11"/>
        <v>#VALUE!</v>
      </c>
      <c r="D129" s="560" t="e">
        <f t="shared" si="12"/>
        <v>#VALUE!</v>
      </c>
      <c r="E129" s="560" t="e">
        <f t="shared" si="13"/>
        <v>#VALUE!</v>
      </c>
      <c r="F129" s="561" t="e">
        <f t="shared" si="14"/>
        <v>#VALUE!</v>
      </c>
      <c r="G129" s="547"/>
      <c r="H129" s="492"/>
      <c r="I129" s="548">
        <v>120</v>
      </c>
      <c r="J129" s="549">
        <v>47969</v>
      </c>
      <c r="K129" s="559" t="e">
        <f t="shared" si="15"/>
        <v>#VALUE!</v>
      </c>
      <c r="L129" s="560" t="e">
        <f t="shared" si="16"/>
        <v>#VALUE!</v>
      </c>
      <c r="M129" s="560" t="e">
        <f t="shared" si="17"/>
        <v>#VALUE!</v>
      </c>
      <c r="N129" s="561" t="e">
        <f t="shared" si="18"/>
        <v>#VALUE!</v>
      </c>
      <c r="O129" s="547"/>
    </row>
    <row r="130" spans="1:15" x14ac:dyDescent="0.25">
      <c r="A130" s="562">
        <v>121</v>
      </c>
      <c r="B130" s="563">
        <v>48000</v>
      </c>
      <c r="C130" s="564" t="e">
        <f t="shared" si="11"/>
        <v>#VALUE!</v>
      </c>
      <c r="D130" s="565" t="e">
        <f t="shared" si="12"/>
        <v>#VALUE!</v>
      </c>
      <c r="E130" s="565" t="e">
        <f t="shared" si="13"/>
        <v>#VALUE!</v>
      </c>
      <c r="F130" s="566" t="e">
        <f t="shared" si="14"/>
        <v>#VALUE!</v>
      </c>
      <c r="G130" s="567" t="e">
        <f>$G$8*AVERAGE(C130:C141)</f>
        <v>#VALUE!</v>
      </c>
      <c r="H130" s="492"/>
      <c r="I130" s="562">
        <v>121</v>
      </c>
      <c r="J130" s="563">
        <v>48000</v>
      </c>
      <c r="K130" s="564" t="e">
        <f t="shared" si="15"/>
        <v>#VALUE!</v>
      </c>
      <c r="L130" s="565" t="e">
        <f t="shared" si="16"/>
        <v>#VALUE!</v>
      </c>
      <c r="M130" s="565" t="e">
        <f t="shared" si="17"/>
        <v>#VALUE!</v>
      </c>
      <c r="N130" s="566" t="e">
        <f t="shared" si="18"/>
        <v>#VALUE!</v>
      </c>
      <c r="O130" s="567" t="e">
        <f>$G$8*AVERAGE(K130:K141)</f>
        <v>#VALUE!</v>
      </c>
    </row>
    <row r="131" spans="1:15" x14ac:dyDescent="0.25">
      <c r="A131" s="548">
        <v>122</v>
      </c>
      <c r="B131" s="549">
        <v>48030</v>
      </c>
      <c r="C131" s="544" t="e">
        <f t="shared" si="11"/>
        <v>#VALUE!</v>
      </c>
      <c r="D131" s="545" t="e">
        <f t="shared" si="12"/>
        <v>#VALUE!</v>
      </c>
      <c r="E131" s="545" t="e">
        <f t="shared" si="13"/>
        <v>#VALUE!</v>
      </c>
      <c r="F131" s="546" t="e">
        <f t="shared" si="14"/>
        <v>#VALUE!</v>
      </c>
      <c r="G131" s="547"/>
      <c r="H131" s="492"/>
      <c r="I131" s="548">
        <v>122</v>
      </c>
      <c r="J131" s="549">
        <v>48030</v>
      </c>
      <c r="K131" s="544" t="e">
        <f t="shared" si="15"/>
        <v>#VALUE!</v>
      </c>
      <c r="L131" s="545" t="e">
        <f t="shared" si="16"/>
        <v>#VALUE!</v>
      </c>
      <c r="M131" s="545" t="e">
        <f t="shared" si="17"/>
        <v>#VALUE!</v>
      </c>
      <c r="N131" s="546" t="e">
        <f t="shared" si="18"/>
        <v>#VALUE!</v>
      </c>
      <c r="O131" s="547"/>
    </row>
    <row r="132" spans="1:15" x14ac:dyDescent="0.25">
      <c r="A132" s="548">
        <v>123</v>
      </c>
      <c r="B132" s="549">
        <v>48061</v>
      </c>
      <c r="C132" s="544" t="e">
        <f t="shared" si="11"/>
        <v>#VALUE!</v>
      </c>
      <c r="D132" s="545" t="e">
        <f t="shared" si="12"/>
        <v>#VALUE!</v>
      </c>
      <c r="E132" s="545" t="e">
        <f t="shared" si="13"/>
        <v>#VALUE!</v>
      </c>
      <c r="F132" s="546" t="e">
        <f t="shared" si="14"/>
        <v>#VALUE!</v>
      </c>
      <c r="G132" s="547"/>
      <c r="H132" s="492"/>
      <c r="I132" s="548">
        <v>123</v>
      </c>
      <c r="J132" s="549">
        <v>48061</v>
      </c>
      <c r="K132" s="544" t="e">
        <f t="shared" si="15"/>
        <v>#VALUE!</v>
      </c>
      <c r="L132" s="545" t="e">
        <f t="shared" si="16"/>
        <v>#VALUE!</v>
      </c>
      <c r="M132" s="545" t="e">
        <f t="shared" si="17"/>
        <v>#VALUE!</v>
      </c>
      <c r="N132" s="546" t="e">
        <f t="shared" si="18"/>
        <v>#VALUE!</v>
      </c>
      <c r="O132" s="547"/>
    </row>
    <row r="133" spans="1:15" x14ac:dyDescent="0.25">
      <c r="A133" s="548">
        <v>124</v>
      </c>
      <c r="B133" s="549">
        <v>48092</v>
      </c>
      <c r="C133" s="544" t="e">
        <f t="shared" si="11"/>
        <v>#VALUE!</v>
      </c>
      <c r="D133" s="545" t="e">
        <f t="shared" si="12"/>
        <v>#VALUE!</v>
      </c>
      <c r="E133" s="545" t="e">
        <f t="shared" si="13"/>
        <v>#VALUE!</v>
      </c>
      <c r="F133" s="546" t="e">
        <f t="shared" si="14"/>
        <v>#VALUE!</v>
      </c>
      <c r="G133" s="547"/>
      <c r="H133" s="492"/>
      <c r="I133" s="548">
        <v>124</v>
      </c>
      <c r="J133" s="549">
        <v>48092</v>
      </c>
      <c r="K133" s="544" t="e">
        <f t="shared" si="15"/>
        <v>#VALUE!</v>
      </c>
      <c r="L133" s="545" t="e">
        <f t="shared" si="16"/>
        <v>#VALUE!</v>
      </c>
      <c r="M133" s="545" t="e">
        <f t="shared" si="17"/>
        <v>#VALUE!</v>
      </c>
      <c r="N133" s="546" t="e">
        <f t="shared" si="18"/>
        <v>#VALUE!</v>
      </c>
      <c r="O133" s="547"/>
    </row>
    <row r="134" spans="1:15" x14ac:dyDescent="0.25">
      <c r="A134" s="548">
        <v>125</v>
      </c>
      <c r="B134" s="549">
        <v>48122</v>
      </c>
      <c r="C134" s="544" t="e">
        <f t="shared" si="11"/>
        <v>#VALUE!</v>
      </c>
      <c r="D134" s="545" t="e">
        <f t="shared" si="12"/>
        <v>#VALUE!</v>
      </c>
      <c r="E134" s="545" t="e">
        <f t="shared" si="13"/>
        <v>#VALUE!</v>
      </c>
      <c r="F134" s="546" t="e">
        <f t="shared" si="14"/>
        <v>#VALUE!</v>
      </c>
      <c r="G134" s="547"/>
      <c r="H134" s="492"/>
      <c r="I134" s="548">
        <v>125</v>
      </c>
      <c r="J134" s="549">
        <v>48122</v>
      </c>
      <c r="K134" s="544" t="e">
        <f t="shared" si="15"/>
        <v>#VALUE!</v>
      </c>
      <c r="L134" s="545" t="e">
        <f t="shared" si="16"/>
        <v>#VALUE!</v>
      </c>
      <c r="M134" s="545" t="e">
        <f t="shared" si="17"/>
        <v>#VALUE!</v>
      </c>
      <c r="N134" s="546" t="e">
        <f t="shared" si="18"/>
        <v>#VALUE!</v>
      </c>
      <c r="O134" s="547"/>
    </row>
    <row r="135" spans="1:15" x14ac:dyDescent="0.25">
      <c r="A135" s="548">
        <v>126</v>
      </c>
      <c r="B135" s="549">
        <v>48153</v>
      </c>
      <c r="C135" s="544" t="e">
        <f t="shared" si="11"/>
        <v>#VALUE!</v>
      </c>
      <c r="D135" s="545" t="e">
        <f t="shared" si="12"/>
        <v>#VALUE!</v>
      </c>
      <c r="E135" s="545" t="e">
        <f t="shared" si="13"/>
        <v>#VALUE!</v>
      </c>
      <c r="F135" s="546" t="e">
        <f t="shared" si="14"/>
        <v>#VALUE!</v>
      </c>
      <c r="G135" s="547"/>
      <c r="H135" s="492"/>
      <c r="I135" s="548">
        <v>126</v>
      </c>
      <c r="J135" s="549">
        <v>48153</v>
      </c>
      <c r="K135" s="544" t="e">
        <f t="shared" si="15"/>
        <v>#VALUE!</v>
      </c>
      <c r="L135" s="545" t="e">
        <f t="shared" si="16"/>
        <v>#VALUE!</v>
      </c>
      <c r="M135" s="545" t="e">
        <f t="shared" si="17"/>
        <v>#VALUE!</v>
      </c>
      <c r="N135" s="546" t="e">
        <f t="shared" si="18"/>
        <v>#VALUE!</v>
      </c>
      <c r="O135" s="547"/>
    </row>
    <row r="136" spans="1:15" x14ac:dyDescent="0.25">
      <c r="A136" s="548">
        <v>127</v>
      </c>
      <c r="B136" s="549">
        <v>48183</v>
      </c>
      <c r="C136" s="544" t="e">
        <f t="shared" si="11"/>
        <v>#VALUE!</v>
      </c>
      <c r="D136" s="545" t="e">
        <f t="shared" si="12"/>
        <v>#VALUE!</v>
      </c>
      <c r="E136" s="545" t="e">
        <f t="shared" si="13"/>
        <v>#VALUE!</v>
      </c>
      <c r="F136" s="546" t="e">
        <f t="shared" si="14"/>
        <v>#VALUE!</v>
      </c>
      <c r="G136" s="547"/>
      <c r="H136" s="492"/>
      <c r="I136" s="548">
        <v>127</v>
      </c>
      <c r="J136" s="549">
        <v>48183</v>
      </c>
      <c r="K136" s="544" t="e">
        <f t="shared" si="15"/>
        <v>#VALUE!</v>
      </c>
      <c r="L136" s="545" t="e">
        <f t="shared" si="16"/>
        <v>#VALUE!</v>
      </c>
      <c r="M136" s="545" t="e">
        <f t="shared" si="17"/>
        <v>#VALUE!</v>
      </c>
      <c r="N136" s="546" t="e">
        <f t="shared" si="18"/>
        <v>#VALUE!</v>
      </c>
      <c r="O136" s="547"/>
    </row>
    <row r="137" spans="1:15" x14ac:dyDescent="0.25">
      <c r="A137" s="548">
        <v>128</v>
      </c>
      <c r="B137" s="549">
        <v>48214</v>
      </c>
      <c r="C137" s="544" t="e">
        <f t="shared" si="11"/>
        <v>#VALUE!</v>
      </c>
      <c r="D137" s="545" t="e">
        <f t="shared" si="12"/>
        <v>#VALUE!</v>
      </c>
      <c r="E137" s="545" t="e">
        <f t="shared" si="13"/>
        <v>#VALUE!</v>
      </c>
      <c r="F137" s="546" t="e">
        <f t="shared" si="14"/>
        <v>#VALUE!</v>
      </c>
      <c r="G137" s="547"/>
      <c r="H137" s="492"/>
      <c r="I137" s="548">
        <v>128</v>
      </c>
      <c r="J137" s="549">
        <v>48214</v>
      </c>
      <c r="K137" s="544" t="e">
        <f t="shared" si="15"/>
        <v>#VALUE!</v>
      </c>
      <c r="L137" s="545" t="e">
        <f t="shared" si="16"/>
        <v>#VALUE!</v>
      </c>
      <c r="M137" s="545" t="e">
        <f t="shared" si="17"/>
        <v>#VALUE!</v>
      </c>
      <c r="N137" s="546" t="e">
        <f t="shared" si="18"/>
        <v>#VALUE!</v>
      </c>
      <c r="O137" s="547"/>
    </row>
    <row r="138" spans="1:15" x14ac:dyDescent="0.25">
      <c r="A138" s="548">
        <v>129</v>
      </c>
      <c r="B138" s="549">
        <v>48245</v>
      </c>
      <c r="C138" s="544" t="e">
        <f t="shared" si="11"/>
        <v>#VALUE!</v>
      </c>
      <c r="D138" s="545" t="e">
        <f t="shared" si="12"/>
        <v>#VALUE!</v>
      </c>
      <c r="E138" s="545" t="e">
        <f t="shared" si="13"/>
        <v>#VALUE!</v>
      </c>
      <c r="F138" s="546" t="e">
        <f t="shared" si="14"/>
        <v>#VALUE!</v>
      </c>
      <c r="G138" s="547"/>
      <c r="H138" s="492"/>
      <c r="I138" s="548">
        <v>129</v>
      </c>
      <c r="J138" s="549">
        <v>48245</v>
      </c>
      <c r="K138" s="544" t="e">
        <f t="shared" si="15"/>
        <v>#VALUE!</v>
      </c>
      <c r="L138" s="545" t="e">
        <f t="shared" si="16"/>
        <v>#VALUE!</v>
      </c>
      <c r="M138" s="545" t="e">
        <f t="shared" si="17"/>
        <v>#VALUE!</v>
      </c>
      <c r="N138" s="546" t="e">
        <f t="shared" si="18"/>
        <v>#VALUE!</v>
      </c>
      <c r="O138" s="547"/>
    </row>
    <row r="139" spans="1:15" x14ac:dyDescent="0.25">
      <c r="A139" s="548">
        <v>130</v>
      </c>
      <c r="B139" s="549">
        <v>48274</v>
      </c>
      <c r="C139" s="544" t="e">
        <f t="shared" ref="C139:C202" si="19">C138-D139</f>
        <v>#VALUE!</v>
      </c>
      <c r="D139" s="545" t="e">
        <f t="shared" ref="D139:D202" si="20">-PPMT($C$4/12,A139,$F$4*$F$6,$C$3)</f>
        <v>#VALUE!</v>
      </c>
      <c r="E139" s="545" t="e">
        <f t="shared" ref="E139:E202" si="21">F139-D139</f>
        <v>#VALUE!</v>
      </c>
      <c r="F139" s="546" t="e">
        <f t="shared" ref="F139:F202" si="22">$F$3</f>
        <v>#VALUE!</v>
      </c>
      <c r="G139" s="547"/>
      <c r="H139" s="492"/>
      <c r="I139" s="548">
        <v>130</v>
      </c>
      <c r="J139" s="549">
        <v>48274</v>
      </c>
      <c r="K139" s="544" t="e">
        <f t="shared" ref="K139:K189" si="23">K138-L139</f>
        <v>#VALUE!</v>
      </c>
      <c r="L139" s="545" t="e">
        <f t="shared" ref="L139:L189" si="24">-PPMT($K$4/12,I139,$N$4*$N$6,$K$3)</f>
        <v>#VALUE!</v>
      </c>
      <c r="M139" s="545" t="e">
        <f t="shared" ref="M139:M189" si="25">N139-L139</f>
        <v>#VALUE!</v>
      </c>
      <c r="N139" s="546" t="e">
        <f t="shared" ref="N139:N189" si="26">$N$3</f>
        <v>#VALUE!</v>
      </c>
      <c r="O139" s="547"/>
    </row>
    <row r="140" spans="1:15" x14ac:dyDescent="0.25">
      <c r="A140" s="548">
        <v>131</v>
      </c>
      <c r="B140" s="549">
        <v>48305</v>
      </c>
      <c r="C140" s="544" t="e">
        <f t="shared" si="19"/>
        <v>#VALUE!</v>
      </c>
      <c r="D140" s="545" t="e">
        <f t="shared" si="20"/>
        <v>#VALUE!</v>
      </c>
      <c r="E140" s="545" t="e">
        <f t="shared" si="21"/>
        <v>#VALUE!</v>
      </c>
      <c r="F140" s="546" t="e">
        <f t="shared" si="22"/>
        <v>#VALUE!</v>
      </c>
      <c r="G140" s="547"/>
      <c r="H140" s="492"/>
      <c r="I140" s="548">
        <v>131</v>
      </c>
      <c r="J140" s="549">
        <v>48305</v>
      </c>
      <c r="K140" s="544" t="e">
        <f t="shared" si="23"/>
        <v>#VALUE!</v>
      </c>
      <c r="L140" s="545" t="e">
        <f t="shared" si="24"/>
        <v>#VALUE!</v>
      </c>
      <c r="M140" s="545" t="e">
        <f t="shared" si="25"/>
        <v>#VALUE!</v>
      </c>
      <c r="N140" s="546" t="e">
        <f t="shared" si="26"/>
        <v>#VALUE!</v>
      </c>
      <c r="O140" s="547"/>
    </row>
    <row r="141" spans="1:15" ht="14.4" thickBot="1" x14ac:dyDescent="0.3">
      <c r="A141" s="550">
        <v>132</v>
      </c>
      <c r="B141" s="551">
        <v>48335</v>
      </c>
      <c r="C141" s="552" t="e">
        <f t="shared" si="19"/>
        <v>#VALUE!</v>
      </c>
      <c r="D141" s="553" t="e">
        <f t="shared" si="20"/>
        <v>#VALUE!</v>
      </c>
      <c r="E141" s="553" t="e">
        <f t="shared" si="21"/>
        <v>#VALUE!</v>
      </c>
      <c r="F141" s="554" t="e">
        <f t="shared" si="22"/>
        <v>#VALUE!</v>
      </c>
      <c r="G141" s="555"/>
      <c r="H141" s="492"/>
      <c r="I141" s="550">
        <v>132</v>
      </c>
      <c r="J141" s="551">
        <v>48335</v>
      </c>
      <c r="K141" s="552" t="e">
        <f t="shared" si="23"/>
        <v>#VALUE!</v>
      </c>
      <c r="L141" s="553" t="e">
        <f t="shared" si="24"/>
        <v>#VALUE!</v>
      </c>
      <c r="M141" s="553" t="e">
        <f t="shared" si="25"/>
        <v>#VALUE!</v>
      </c>
      <c r="N141" s="554" t="e">
        <f t="shared" si="26"/>
        <v>#VALUE!</v>
      </c>
      <c r="O141" s="555"/>
    </row>
    <row r="142" spans="1:15" x14ac:dyDescent="0.25">
      <c r="A142" s="548">
        <v>133</v>
      </c>
      <c r="B142" s="549">
        <v>48366</v>
      </c>
      <c r="C142" s="556" t="e">
        <f t="shared" si="19"/>
        <v>#VALUE!</v>
      </c>
      <c r="D142" s="557" t="e">
        <f t="shared" si="20"/>
        <v>#VALUE!</v>
      </c>
      <c r="E142" s="557" t="e">
        <f t="shared" si="21"/>
        <v>#VALUE!</v>
      </c>
      <c r="F142" s="558" t="e">
        <f t="shared" si="22"/>
        <v>#VALUE!</v>
      </c>
      <c r="G142" s="567" t="e">
        <f>$G$8*AVERAGE(C142:C153)</f>
        <v>#VALUE!</v>
      </c>
      <c r="H142" s="492"/>
      <c r="I142" s="548">
        <v>133</v>
      </c>
      <c r="J142" s="549">
        <v>48366</v>
      </c>
      <c r="K142" s="556" t="e">
        <f t="shared" si="23"/>
        <v>#VALUE!</v>
      </c>
      <c r="L142" s="557" t="e">
        <f t="shared" si="24"/>
        <v>#VALUE!</v>
      </c>
      <c r="M142" s="557" t="e">
        <f t="shared" si="25"/>
        <v>#VALUE!</v>
      </c>
      <c r="N142" s="558" t="e">
        <f t="shared" si="26"/>
        <v>#VALUE!</v>
      </c>
      <c r="O142" s="567" t="e">
        <f>$G$8*AVERAGE(K142:K153)</f>
        <v>#VALUE!</v>
      </c>
    </row>
    <row r="143" spans="1:15" x14ac:dyDescent="0.25">
      <c r="A143" s="548">
        <v>134</v>
      </c>
      <c r="B143" s="549">
        <v>48396</v>
      </c>
      <c r="C143" s="544" t="e">
        <f t="shared" si="19"/>
        <v>#VALUE!</v>
      </c>
      <c r="D143" s="545" t="e">
        <f t="shared" si="20"/>
        <v>#VALUE!</v>
      </c>
      <c r="E143" s="545" t="e">
        <f t="shared" si="21"/>
        <v>#VALUE!</v>
      </c>
      <c r="F143" s="546" t="e">
        <f t="shared" si="22"/>
        <v>#VALUE!</v>
      </c>
      <c r="G143" s="547"/>
      <c r="H143" s="492"/>
      <c r="I143" s="548">
        <v>134</v>
      </c>
      <c r="J143" s="549">
        <v>48396</v>
      </c>
      <c r="K143" s="544" t="e">
        <f t="shared" si="23"/>
        <v>#VALUE!</v>
      </c>
      <c r="L143" s="545" t="e">
        <f t="shared" si="24"/>
        <v>#VALUE!</v>
      </c>
      <c r="M143" s="545" t="e">
        <f t="shared" si="25"/>
        <v>#VALUE!</v>
      </c>
      <c r="N143" s="546" t="e">
        <f t="shared" si="26"/>
        <v>#VALUE!</v>
      </c>
      <c r="O143" s="547"/>
    </row>
    <row r="144" spans="1:15" x14ac:dyDescent="0.25">
      <c r="A144" s="548">
        <v>135</v>
      </c>
      <c r="B144" s="549">
        <v>48427</v>
      </c>
      <c r="C144" s="544" t="e">
        <f t="shared" si="19"/>
        <v>#VALUE!</v>
      </c>
      <c r="D144" s="545" t="e">
        <f t="shared" si="20"/>
        <v>#VALUE!</v>
      </c>
      <c r="E144" s="545" t="e">
        <f t="shared" si="21"/>
        <v>#VALUE!</v>
      </c>
      <c r="F144" s="546" t="e">
        <f t="shared" si="22"/>
        <v>#VALUE!</v>
      </c>
      <c r="G144" s="547"/>
      <c r="H144" s="492"/>
      <c r="I144" s="548">
        <v>135</v>
      </c>
      <c r="J144" s="549">
        <v>48427</v>
      </c>
      <c r="K144" s="544" t="e">
        <f t="shared" si="23"/>
        <v>#VALUE!</v>
      </c>
      <c r="L144" s="545" t="e">
        <f t="shared" si="24"/>
        <v>#VALUE!</v>
      </c>
      <c r="M144" s="545" t="e">
        <f t="shared" si="25"/>
        <v>#VALUE!</v>
      </c>
      <c r="N144" s="546" t="e">
        <f t="shared" si="26"/>
        <v>#VALUE!</v>
      </c>
      <c r="O144" s="547"/>
    </row>
    <row r="145" spans="1:15" x14ac:dyDescent="0.25">
      <c r="A145" s="548">
        <v>136</v>
      </c>
      <c r="B145" s="549">
        <v>48458</v>
      </c>
      <c r="C145" s="544" t="e">
        <f t="shared" si="19"/>
        <v>#VALUE!</v>
      </c>
      <c r="D145" s="545" t="e">
        <f t="shared" si="20"/>
        <v>#VALUE!</v>
      </c>
      <c r="E145" s="545" t="e">
        <f t="shared" si="21"/>
        <v>#VALUE!</v>
      </c>
      <c r="F145" s="546" t="e">
        <f t="shared" si="22"/>
        <v>#VALUE!</v>
      </c>
      <c r="G145" s="547"/>
      <c r="H145" s="492"/>
      <c r="I145" s="548">
        <v>136</v>
      </c>
      <c r="J145" s="549">
        <v>48458</v>
      </c>
      <c r="K145" s="544" t="e">
        <f t="shared" si="23"/>
        <v>#VALUE!</v>
      </c>
      <c r="L145" s="545" t="e">
        <f t="shared" si="24"/>
        <v>#VALUE!</v>
      </c>
      <c r="M145" s="545" t="e">
        <f t="shared" si="25"/>
        <v>#VALUE!</v>
      </c>
      <c r="N145" s="546" t="e">
        <f t="shared" si="26"/>
        <v>#VALUE!</v>
      </c>
      <c r="O145" s="547"/>
    </row>
    <row r="146" spans="1:15" x14ac:dyDescent="0.25">
      <c r="A146" s="548">
        <v>137</v>
      </c>
      <c r="B146" s="549">
        <v>48488</v>
      </c>
      <c r="C146" s="544" t="e">
        <f t="shared" si="19"/>
        <v>#VALUE!</v>
      </c>
      <c r="D146" s="545" t="e">
        <f t="shared" si="20"/>
        <v>#VALUE!</v>
      </c>
      <c r="E146" s="545" t="e">
        <f t="shared" si="21"/>
        <v>#VALUE!</v>
      </c>
      <c r="F146" s="546" t="e">
        <f t="shared" si="22"/>
        <v>#VALUE!</v>
      </c>
      <c r="G146" s="547"/>
      <c r="H146" s="492"/>
      <c r="I146" s="548">
        <v>137</v>
      </c>
      <c r="J146" s="549">
        <v>48488</v>
      </c>
      <c r="K146" s="544" t="e">
        <f t="shared" si="23"/>
        <v>#VALUE!</v>
      </c>
      <c r="L146" s="545" t="e">
        <f t="shared" si="24"/>
        <v>#VALUE!</v>
      </c>
      <c r="M146" s="545" t="e">
        <f t="shared" si="25"/>
        <v>#VALUE!</v>
      </c>
      <c r="N146" s="546" t="e">
        <f t="shared" si="26"/>
        <v>#VALUE!</v>
      </c>
      <c r="O146" s="547"/>
    </row>
    <row r="147" spans="1:15" x14ac:dyDescent="0.25">
      <c r="A147" s="548">
        <v>138</v>
      </c>
      <c r="B147" s="549">
        <v>48519</v>
      </c>
      <c r="C147" s="544" t="e">
        <f t="shared" si="19"/>
        <v>#VALUE!</v>
      </c>
      <c r="D147" s="545" t="e">
        <f t="shared" si="20"/>
        <v>#VALUE!</v>
      </c>
      <c r="E147" s="545" t="e">
        <f t="shared" si="21"/>
        <v>#VALUE!</v>
      </c>
      <c r="F147" s="546" t="e">
        <f t="shared" si="22"/>
        <v>#VALUE!</v>
      </c>
      <c r="G147" s="547"/>
      <c r="H147" s="492"/>
      <c r="I147" s="548">
        <v>138</v>
      </c>
      <c r="J147" s="549">
        <v>48519</v>
      </c>
      <c r="K147" s="544" t="e">
        <f t="shared" si="23"/>
        <v>#VALUE!</v>
      </c>
      <c r="L147" s="545" t="e">
        <f t="shared" si="24"/>
        <v>#VALUE!</v>
      </c>
      <c r="M147" s="545" t="e">
        <f t="shared" si="25"/>
        <v>#VALUE!</v>
      </c>
      <c r="N147" s="546" t="e">
        <f t="shared" si="26"/>
        <v>#VALUE!</v>
      </c>
      <c r="O147" s="547"/>
    </row>
    <row r="148" spans="1:15" x14ac:dyDescent="0.25">
      <c r="A148" s="548">
        <v>139</v>
      </c>
      <c r="B148" s="549">
        <v>48549</v>
      </c>
      <c r="C148" s="544" t="e">
        <f t="shared" si="19"/>
        <v>#VALUE!</v>
      </c>
      <c r="D148" s="545" t="e">
        <f t="shared" si="20"/>
        <v>#VALUE!</v>
      </c>
      <c r="E148" s="545" t="e">
        <f t="shared" si="21"/>
        <v>#VALUE!</v>
      </c>
      <c r="F148" s="546" t="e">
        <f t="shared" si="22"/>
        <v>#VALUE!</v>
      </c>
      <c r="G148" s="547"/>
      <c r="H148" s="492"/>
      <c r="I148" s="548">
        <v>139</v>
      </c>
      <c r="J148" s="549">
        <v>48549</v>
      </c>
      <c r="K148" s="544" t="e">
        <f t="shared" si="23"/>
        <v>#VALUE!</v>
      </c>
      <c r="L148" s="545" t="e">
        <f t="shared" si="24"/>
        <v>#VALUE!</v>
      </c>
      <c r="M148" s="545" t="e">
        <f t="shared" si="25"/>
        <v>#VALUE!</v>
      </c>
      <c r="N148" s="546" t="e">
        <f t="shared" si="26"/>
        <v>#VALUE!</v>
      </c>
      <c r="O148" s="547"/>
    </row>
    <row r="149" spans="1:15" x14ac:dyDescent="0.25">
      <c r="A149" s="548">
        <v>140</v>
      </c>
      <c r="B149" s="549">
        <v>48580</v>
      </c>
      <c r="C149" s="544" t="e">
        <f t="shared" si="19"/>
        <v>#VALUE!</v>
      </c>
      <c r="D149" s="545" t="e">
        <f t="shared" si="20"/>
        <v>#VALUE!</v>
      </c>
      <c r="E149" s="545" t="e">
        <f t="shared" si="21"/>
        <v>#VALUE!</v>
      </c>
      <c r="F149" s="546" t="e">
        <f t="shared" si="22"/>
        <v>#VALUE!</v>
      </c>
      <c r="G149" s="547"/>
      <c r="H149" s="492"/>
      <c r="I149" s="548">
        <v>140</v>
      </c>
      <c r="J149" s="549">
        <v>48580</v>
      </c>
      <c r="K149" s="544" t="e">
        <f t="shared" si="23"/>
        <v>#VALUE!</v>
      </c>
      <c r="L149" s="545" t="e">
        <f t="shared" si="24"/>
        <v>#VALUE!</v>
      </c>
      <c r="M149" s="545" t="e">
        <f t="shared" si="25"/>
        <v>#VALUE!</v>
      </c>
      <c r="N149" s="546" t="e">
        <f t="shared" si="26"/>
        <v>#VALUE!</v>
      </c>
      <c r="O149" s="547"/>
    </row>
    <row r="150" spans="1:15" x14ac:dyDescent="0.25">
      <c r="A150" s="548">
        <v>141</v>
      </c>
      <c r="B150" s="549">
        <v>48611</v>
      </c>
      <c r="C150" s="544" t="e">
        <f t="shared" si="19"/>
        <v>#VALUE!</v>
      </c>
      <c r="D150" s="545" t="e">
        <f t="shared" si="20"/>
        <v>#VALUE!</v>
      </c>
      <c r="E150" s="545" t="e">
        <f t="shared" si="21"/>
        <v>#VALUE!</v>
      </c>
      <c r="F150" s="546" t="e">
        <f t="shared" si="22"/>
        <v>#VALUE!</v>
      </c>
      <c r="G150" s="547"/>
      <c r="H150" s="492"/>
      <c r="I150" s="548">
        <v>141</v>
      </c>
      <c r="J150" s="549">
        <v>48611</v>
      </c>
      <c r="K150" s="544" t="e">
        <f t="shared" si="23"/>
        <v>#VALUE!</v>
      </c>
      <c r="L150" s="545" t="e">
        <f t="shared" si="24"/>
        <v>#VALUE!</v>
      </c>
      <c r="M150" s="545" t="e">
        <f t="shared" si="25"/>
        <v>#VALUE!</v>
      </c>
      <c r="N150" s="546" t="e">
        <f t="shared" si="26"/>
        <v>#VALUE!</v>
      </c>
      <c r="O150" s="547"/>
    </row>
    <row r="151" spans="1:15" x14ac:dyDescent="0.25">
      <c r="A151" s="548">
        <v>142</v>
      </c>
      <c r="B151" s="549">
        <v>48639</v>
      </c>
      <c r="C151" s="544" t="e">
        <f t="shared" si="19"/>
        <v>#VALUE!</v>
      </c>
      <c r="D151" s="545" t="e">
        <f t="shared" si="20"/>
        <v>#VALUE!</v>
      </c>
      <c r="E151" s="545" t="e">
        <f t="shared" si="21"/>
        <v>#VALUE!</v>
      </c>
      <c r="F151" s="546" t="e">
        <f t="shared" si="22"/>
        <v>#VALUE!</v>
      </c>
      <c r="G151" s="547"/>
      <c r="H151" s="492"/>
      <c r="I151" s="548">
        <v>142</v>
      </c>
      <c r="J151" s="549">
        <v>48639</v>
      </c>
      <c r="K151" s="544" t="e">
        <f t="shared" si="23"/>
        <v>#VALUE!</v>
      </c>
      <c r="L151" s="545" t="e">
        <f t="shared" si="24"/>
        <v>#VALUE!</v>
      </c>
      <c r="M151" s="545" t="e">
        <f t="shared" si="25"/>
        <v>#VALUE!</v>
      </c>
      <c r="N151" s="546" t="e">
        <f t="shared" si="26"/>
        <v>#VALUE!</v>
      </c>
      <c r="O151" s="547"/>
    </row>
    <row r="152" spans="1:15" x14ac:dyDescent="0.25">
      <c r="A152" s="548">
        <v>143</v>
      </c>
      <c r="B152" s="549">
        <v>48670</v>
      </c>
      <c r="C152" s="544" t="e">
        <f t="shared" si="19"/>
        <v>#VALUE!</v>
      </c>
      <c r="D152" s="545" t="e">
        <f t="shared" si="20"/>
        <v>#VALUE!</v>
      </c>
      <c r="E152" s="545" t="e">
        <f t="shared" si="21"/>
        <v>#VALUE!</v>
      </c>
      <c r="F152" s="546" t="e">
        <f t="shared" si="22"/>
        <v>#VALUE!</v>
      </c>
      <c r="G152" s="547"/>
      <c r="H152" s="492"/>
      <c r="I152" s="548">
        <v>143</v>
      </c>
      <c r="J152" s="549">
        <v>48670</v>
      </c>
      <c r="K152" s="544" t="e">
        <f t="shared" si="23"/>
        <v>#VALUE!</v>
      </c>
      <c r="L152" s="545" t="e">
        <f t="shared" si="24"/>
        <v>#VALUE!</v>
      </c>
      <c r="M152" s="545" t="e">
        <f t="shared" si="25"/>
        <v>#VALUE!</v>
      </c>
      <c r="N152" s="546" t="e">
        <f t="shared" si="26"/>
        <v>#VALUE!</v>
      </c>
      <c r="O152" s="547"/>
    </row>
    <row r="153" spans="1:15" ht="14.4" thickBot="1" x14ac:dyDescent="0.3">
      <c r="A153" s="548">
        <v>144</v>
      </c>
      <c r="B153" s="549">
        <v>48700</v>
      </c>
      <c r="C153" s="559" t="e">
        <f t="shared" si="19"/>
        <v>#VALUE!</v>
      </c>
      <c r="D153" s="560" t="e">
        <f t="shared" si="20"/>
        <v>#VALUE!</v>
      </c>
      <c r="E153" s="560" t="e">
        <f t="shared" si="21"/>
        <v>#VALUE!</v>
      </c>
      <c r="F153" s="561" t="e">
        <f t="shared" si="22"/>
        <v>#VALUE!</v>
      </c>
      <c r="G153" s="547"/>
      <c r="H153" s="492"/>
      <c r="I153" s="548">
        <v>144</v>
      </c>
      <c r="J153" s="549">
        <v>48700</v>
      </c>
      <c r="K153" s="559" t="e">
        <f t="shared" si="23"/>
        <v>#VALUE!</v>
      </c>
      <c r="L153" s="560" t="e">
        <f t="shared" si="24"/>
        <v>#VALUE!</v>
      </c>
      <c r="M153" s="560" t="e">
        <f t="shared" si="25"/>
        <v>#VALUE!</v>
      </c>
      <c r="N153" s="561" t="e">
        <f t="shared" si="26"/>
        <v>#VALUE!</v>
      </c>
      <c r="O153" s="547"/>
    </row>
    <row r="154" spans="1:15" x14ac:dyDescent="0.25">
      <c r="A154" s="562">
        <v>145</v>
      </c>
      <c r="B154" s="563">
        <v>48731</v>
      </c>
      <c r="C154" s="564" t="e">
        <f t="shared" si="19"/>
        <v>#VALUE!</v>
      </c>
      <c r="D154" s="565" t="e">
        <f t="shared" si="20"/>
        <v>#VALUE!</v>
      </c>
      <c r="E154" s="565" t="e">
        <f t="shared" si="21"/>
        <v>#VALUE!</v>
      </c>
      <c r="F154" s="566" t="e">
        <f t="shared" si="22"/>
        <v>#VALUE!</v>
      </c>
      <c r="G154" s="567" t="e">
        <f>$G$8*AVERAGE(C154:C165)</f>
        <v>#VALUE!</v>
      </c>
      <c r="H154" s="492"/>
      <c r="I154" s="562">
        <v>145</v>
      </c>
      <c r="J154" s="563">
        <v>48731</v>
      </c>
      <c r="K154" s="564" t="e">
        <f t="shared" si="23"/>
        <v>#VALUE!</v>
      </c>
      <c r="L154" s="565" t="e">
        <f t="shared" si="24"/>
        <v>#VALUE!</v>
      </c>
      <c r="M154" s="565" t="e">
        <f t="shared" si="25"/>
        <v>#VALUE!</v>
      </c>
      <c r="N154" s="566" t="e">
        <f t="shared" si="26"/>
        <v>#VALUE!</v>
      </c>
      <c r="O154" s="567" t="e">
        <f>$G$8*AVERAGE(K154:K165)</f>
        <v>#VALUE!</v>
      </c>
    </row>
    <row r="155" spans="1:15" x14ac:dyDescent="0.25">
      <c r="A155" s="548">
        <v>146</v>
      </c>
      <c r="B155" s="549">
        <v>48761</v>
      </c>
      <c r="C155" s="544" t="e">
        <f t="shared" si="19"/>
        <v>#VALUE!</v>
      </c>
      <c r="D155" s="545" t="e">
        <f t="shared" si="20"/>
        <v>#VALUE!</v>
      </c>
      <c r="E155" s="545" t="e">
        <f t="shared" si="21"/>
        <v>#VALUE!</v>
      </c>
      <c r="F155" s="546" t="e">
        <f t="shared" si="22"/>
        <v>#VALUE!</v>
      </c>
      <c r="G155" s="547"/>
      <c r="H155" s="492"/>
      <c r="I155" s="548">
        <v>146</v>
      </c>
      <c r="J155" s="549">
        <v>48761</v>
      </c>
      <c r="K155" s="544" t="e">
        <f t="shared" si="23"/>
        <v>#VALUE!</v>
      </c>
      <c r="L155" s="545" t="e">
        <f t="shared" si="24"/>
        <v>#VALUE!</v>
      </c>
      <c r="M155" s="545" t="e">
        <f t="shared" si="25"/>
        <v>#VALUE!</v>
      </c>
      <c r="N155" s="546" t="e">
        <f t="shared" si="26"/>
        <v>#VALUE!</v>
      </c>
      <c r="O155" s="547"/>
    </row>
    <row r="156" spans="1:15" x14ac:dyDescent="0.25">
      <c r="A156" s="548">
        <v>147</v>
      </c>
      <c r="B156" s="549">
        <v>48792</v>
      </c>
      <c r="C156" s="544" t="e">
        <f t="shared" si="19"/>
        <v>#VALUE!</v>
      </c>
      <c r="D156" s="545" t="e">
        <f t="shared" si="20"/>
        <v>#VALUE!</v>
      </c>
      <c r="E156" s="545" t="e">
        <f t="shared" si="21"/>
        <v>#VALUE!</v>
      </c>
      <c r="F156" s="546" t="e">
        <f t="shared" si="22"/>
        <v>#VALUE!</v>
      </c>
      <c r="G156" s="547"/>
      <c r="H156" s="492"/>
      <c r="I156" s="548">
        <v>147</v>
      </c>
      <c r="J156" s="549">
        <v>48792</v>
      </c>
      <c r="K156" s="544" t="e">
        <f t="shared" si="23"/>
        <v>#VALUE!</v>
      </c>
      <c r="L156" s="545" t="e">
        <f t="shared" si="24"/>
        <v>#VALUE!</v>
      </c>
      <c r="M156" s="545" t="e">
        <f t="shared" si="25"/>
        <v>#VALUE!</v>
      </c>
      <c r="N156" s="546" t="e">
        <f t="shared" si="26"/>
        <v>#VALUE!</v>
      </c>
      <c r="O156" s="547"/>
    </row>
    <row r="157" spans="1:15" x14ac:dyDescent="0.25">
      <c r="A157" s="548">
        <v>148</v>
      </c>
      <c r="B157" s="549">
        <v>48823</v>
      </c>
      <c r="C157" s="544" t="e">
        <f t="shared" si="19"/>
        <v>#VALUE!</v>
      </c>
      <c r="D157" s="545" t="e">
        <f t="shared" si="20"/>
        <v>#VALUE!</v>
      </c>
      <c r="E157" s="545" t="e">
        <f t="shared" si="21"/>
        <v>#VALUE!</v>
      </c>
      <c r="F157" s="546" t="e">
        <f t="shared" si="22"/>
        <v>#VALUE!</v>
      </c>
      <c r="G157" s="547"/>
      <c r="H157" s="492"/>
      <c r="I157" s="548">
        <v>148</v>
      </c>
      <c r="J157" s="549">
        <v>48823</v>
      </c>
      <c r="K157" s="544" t="e">
        <f t="shared" si="23"/>
        <v>#VALUE!</v>
      </c>
      <c r="L157" s="545" t="e">
        <f t="shared" si="24"/>
        <v>#VALUE!</v>
      </c>
      <c r="M157" s="545" t="e">
        <f t="shared" si="25"/>
        <v>#VALUE!</v>
      </c>
      <c r="N157" s="546" t="e">
        <f t="shared" si="26"/>
        <v>#VALUE!</v>
      </c>
      <c r="O157" s="547"/>
    </row>
    <row r="158" spans="1:15" x14ac:dyDescent="0.25">
      <c r="A158" s="548">
        <v>149</v>
      </c>
      <c r="B158" s="549">
        <v>48853</v>
      </c>
      <c r="C158" s="544" t="e">
        <f t="shared" si="19"/>
        <v>#VALUE!</v>
      </c>
      <c r="D158" s="545" t="e">
        <f t="shared" si="20"/>
        <v>#VALUE!</v>
      </c>
      <c r="E158" s="545" t="e">
        <f t="shared" si="21"/>
        <v>#VALUE!</v>
      </c>
      <c r="F158" s="546" t="e">
        <f t="shared" si="22"/>
        <v>#VALUE!</v>
      </c>
      <c r="G158" s="547"/>
      <c r="H158" s="492"/>
      <c r="I158" s="548">
        <v>149</v>
      </c>
      <c r="J158" s="549">
        <v>48853</v>
      </c>
      <c r="K158" s="544" t="e">
        <f t="shared" si="23"/>
        <v>#VALUE!</v>
      </c>
      <c r="L158" s="545" t="e">
        <f t="shared" si="24"/>
        <v>#VALUE!</v>
      </c>
      <c r="M158" s="545" t="e">
        <f t="shared" si="25"/>
        <v>#VALUE!</v>
      </c>
      <c r="N158" s="546" t="e">
        <f t="shared" si="26"/>
        <v>#VALUE!</v>
      </c>
      <c r="O158" s="547"/>
    </row>
    <row r="159" spans="1:15" x14ac:dyDescent="0.25">
      <c r="A159" s="548">
        <v>150</v>
      </c>
      <c r="B159" s="549">
        <v>48884</v>
      </c>
      <c r="C159" s="544" t="e">
        <f t="shared" si="19"/>
        <v>#VALUE!</v>
      </c>
      <c r="D159" s="545" t="e">
        <f t="shared" si="20"/>
        <v>#VALUE!</v>
      </c>
      <c r="E159" s="545" t="e">
        <f t="shared" si="21"/>
        <v>#VALUE!</v>
      </c>
      <c r="F159" s="546" t="e">
        <f t="shared" si="22"/>
        <v>#VALUE!</v>
      </c>
      <c r="G159" s="547"/>
      <c r="H159" s="492"/>
      <c r="I159" s="548">
        <v>150</v>
      </c>
      <c r="J159" s="549">
        <v>48884</v>
      </c>
      <c r="K159" s="544" t="e">
        <f t="shared" si="23"/>
        <v>#VALUE!</v>
      </c>
      <c r="L159" s="545" t="e">
        <f t="shared" si="24"/>
        <v>#VALUE!</v>
      </c>
      <c r="M159" s="545" t="e">
        <f t="shared" si="25"/>
        <v>#VALUE!</v>
      </c>
      <c r="N159" s="546" t="e">
        <f t="shared" si="26"/>
        <v>#VALUE!</v>
      </c>
      <c r="O159" s="547"/>
    </row>
    <row r="160" spans="1:15" x14ac:dyDescent="0.25">
      <c r="A160" s="548">
        <v>151</v>
      </c>
      <c r="B160" s="549">
        <v>48914</v>
      </c>
      <c r="C160" s="544" t="e">
        <f t="shared" si="19"/>
        <v>#VALUE!</v>
      </c>
      <c r="D160" s="545" t="e">
        <f t="shared" si="20"/>
        <v>#VALUE!</v>
      </c>
      <c r="E160" s="545" t="e">
        <f t="shared" si="21"/>
        <v>#VALUE!</v>
      </c>
      <c r="F160" s="546" t="e">
        <f t="shared" si="22"/>
        <v>#VALUE!</v>
      </c>
      <c r="G160" s="547"/>
      <c r="H160" s="492"/>
      <c r="I160" s="548">
        <v>151</v>
      </c>
      <c r="J160" s="549">
        <v>48914</v>
      </c>
      <c r="K160" s="544" t="e">
        <f t="shared" si="23"/>
        <v>#VALUE!</v>
      </c>
      <c r="L160" s="545" t="e">
        <f t="shared" si="24"/>
        <v>#VALUE!</v>
      </c>
      <c r="M160" s="545" t="e">
        <f t="shared" si="25"/>
        <v>#VALUE!</v>
      </c>
      <c r="N160" s="546" t="e">
        <f t="shared" si="26"/>
        <v>#VALUE!</v>
      </c>
      <c r="O160" s="547"/>
    </row>
    <row r="161" spans="1:15" x14ac:dyDescent="0.25">
      <c r="A161" s="548">
        <v>152</v>
      </c>
      <c r="B161" s="549">
        <v>48945</v>
      </c>
      <c r="C161" s="544" t="e">
        <f t="shared" si="19"/>
        <v>#VALUE!</v>
      </c>
      <c r="D161" s="545" t="e">
        <f t="shared" si="20"/>
        <v>#VALUE!</v>
      </c>
      <c r="E161" s="545" t="e">
        <f t="shared" si="21"/>
        <v>#VALUE!</v>
      </c>
      <c r="F161" s="546" t="e">
        <f t="shared" si="22"/>
        <v>#VALUE!</v>
      </c>
      <c r="G161" s="547"/>
      <c r="H161" s="492"/>
      <c r="I161" s="548">
        <v>152</v>
      </c>
      <c r="J161" s="549">
        <v>48945</v>
      </c>
      <c r="K161" s="544" t="e">
        <f t="shared" si="23"/>
        <v>#VALUE!</v>
      </c>
      <c r="L161" s="545" t="e">
        <f t="shared" si="24"/>
        <v>#VALUE!</v>
      </c>
      <c r="M161" s="545" t="e">
        <f t="shared" si="25"/>
        <v>#VALUE!</v>
      </c>
      <c r="N161" s="546" t="e">
        <f t="shared" si="26"/>
        <v>#VALUE!</v>
      </c>
      <c r="O161" s="547"/>
    </row>
    <row r="162" spans="1:15" x14ac:dyDescent="0.25">
      <c r="A162" s="548">
        <v>153</v>
      </c>
      <c r="B162" s="549">
        <v>48976</v>
      </c>
      <c r="C162" s="544" t="e">
        <f t="shared" si="19"/>
        <v>#VALUE!</v>
      </c>
      <c r="D162" s="545" t="e">
        <f t="shared" si="20"/>
        <v>#VALUE!</v>
      </c>
      <c r="E162" s="545" t="e">
        <f t="shared" si="21"/>
        <v>#VALUE!</v>
      </c>
      <c r="F162" s="546" t="e">
        <f t="shared" si="22"/>
        <v>#VALUE!</v>
      </c>
      <c r="G162" s="547"/>
      <c r="H162" s="492"/>
      <c r="I162" s="548">
        <v>153</v>
      </c>
      <c r="J162" s="549">
        <v>48976</v>
      </c>
      <c r="K162" s="544" t="e">
        <f t="shared" si="23"/>
        <v>#VALUE!</v>
      </c>
      <c r="L162" s="545" t="e">
        <f t="shared" si="24"/>
        <v>#VALUE!</v>
      </c>
      <c r="M162" s="545" t="e">
        <f t="shared" si="25"/>
        <v>#VALUE!</v>
      </c>
      <c r="N162" s="546" t="e">
        <f t="shared" si="26"/>
        <v>#VALUE!</v>
      </c>
      <c r="O162" s="547"/>
    </row>
    <row r="163" spans="1:15" x14ac:dyDescent="0.25">
      <c r="A163" s="548">
        <v>154</v>
      </c>
      <c r="B163" s="549">
        <v>49004</v>
      </c>
      <c r="C163" s="544" t="e">
        <f t="shared" si="19"/>
        <v>#VALUE!</v>
      </c>
      <c r="D163" s="545" t="e">
        <f t="shared" si="20"/>
        <v>#VALUE!</v>
      </c>
      <c r="E163" s="545" t="e">
        <f t="shared" si="21"/>
        <v>#VALUE!</v>
      </c>
      <c r="F163" s="546" t="e">
        <f t="shared" si="22"/>
        <v>#VALUE!</v>
      </c>
      <c r="G163" s="547"/>
      <c r="H163" s="492"/>
      <c r="I163" s="548">
        <v>154</v>
      </c>
      <c r="J163" s="549">
        <v>49004</v>
      </c>
      <c r="K163" s="544" t="e">
        <f t="shared" si="23"/>
        <v>#VALUE!</v>
      </c>
      <c r="L163" s="545" t="e">
        <f t="shared" si="24"/>
        <v>#VALUE!</v>
      </c>
      <c r="M163" s="545" t="e">
        <f t="shared" si="25"/>
        <v>#VALUE!</v>
      </c>
      <c r="N163" s="546" t="e">
        <f t="shared" si="26"/>
        <v>#VALUE!</v>
      </c>
      <c r="O163" s="547"/>
    </row>
    <row r="164" spans="1:15" x14ac:dyDescent="0.25">
      <c r="A164" s="548">
        <v>155</v>
      </c>
      <c r="B164" s="549">
        <v>49035</v>
      </c>
      <c r="C164" s="544" t="e">
        <f t="shared" si="19"/>
        <v>#VALUE!</v>
      </c>
      <c r="D164" s="545" t="e">
        <f t="shared" si="20"/>
        <v>#VALUE!</v>
      </c>
      <c r="E164" s="545" t="e">
        <f t="shared" si="21"/>
        <v>#VALUE!</v>
      </c>
      <c r="F164" s="546" t="e">
        <f t="shared" si="22"/>
        <v>#VALUE!</v>
      </c>
      <c r="G164" s="547"/>
      <c r="H164" s="492"/>
      <c r="I164" s="548">
        <v>155</v>
      </c>
      <c r="J164" s="549">
        <v>49035</v>
      </c>
      <c r="K164" s="544" t="e">
        <f t="shared" si="23"/>
        <v>#VALUE!</v>
      </c>
      <c r="L164" s="545" t="e">
        <f t="shared" si="24"/>
        <v>#VALUE!</v>
      </c>
      <c r="M164" s="545" t="e">
        <f t="shared" si="25"/>
        <v>#VALUE!</v>
      </c>
      <c r="N164" s="546" t="e">
        <f t="shared" si="26"/>
        <v>#VALUE!</v>
      </c>
      <c r="O164" s="547"/>
    </row>
    <row r="165" spans="1:15" ht="14.4" thickBot="1" x14ac:dyDescent="0.3">
      <c r="A165" s="550">
        <v>156</v>
      </c>
      <c r="B165" s="551">
        <v>49065</v>
      </c>
      <c r="C165" s="552" t="e">
        <f t="shared" si="19"/>
        <v>#VALUE!</v>
      </c>
      <c r="D165" s="553" t="e">
        <f t="shared" si="20"/>
        <v>#VALUE!</v>
      </c>
      <c r="E165" s="553" t="e">
        <f t="shared" si="21"/>
        <v>#VALUE!</v>
      </c>
      <c r="F165" s="554" t="e">
        <f t="shared" si="22"/>
        <v>#VALUE!</v>
      </c>
      <c r="G165" s="555"/>
      <c r="H165" s="492"/>
      <c r="I165" s="550">
        <v>156</v>
      </c>
      <c r="J165" s="551">
        <v>49065</v>
      </c>
      <c r="K165" s="552" t="e">
        <f t="shared" si="23"/>
        <v>#VALUE!</v>
      </c>
      <c r="L165" s="553" t="e">
        <f t="shared" si="24"/>
        <v>#VALUE!</v>
      </c>
      <c r="M165" s="553" t="e">
        <f t="shared" si="25"/>
        <v>#VALUE!</v>
      </c>
      <c r="N165" s="554" t="e">
        <f t="shared" si="26"/>
        <v>#VALUE!</v>
      </c>
      <c r="O165" s="555"/>
    </row>
    <row r="166" spans="1:15" x14ac:dyDescent="0.25">
      <c r="A166" s="548">
        <v>157</v>
      </c>
      <c r="B166" s="549">
        <v>49096</v>
      </c>
      <c r="C166" s="556" t="e">
        <f t="shared" si="19"/>
        <v>#VALUE!</v>
      </c>
      <c r="D166" s="557" t="e">
        <f t="shared" si="20"/>
        <v>#VALUE!</v>
      </c>
      <c r="E166" s="557" t="e">
        <f t="shared" si="21"/>
        <v>#VALUE!</v>
      </c>
      <c r="F166" s="558" t="e">
        <f t="shared" si="22"/>
        <v>#VALUE!</v>
      </c>
      <c r="G166" s="567" t="e">
        <f>$G$8*AVERAGE(C166:C177)</f>
        <v>#VALUE!</v>
      </c>
      <c r="H166" s="492"/>
      <c r="I166" s="548">
        <v>157</v>
      </c>
      <c r="J166" s="549">
        <v>49096</v>
      </c>
      <c r="K166" s="556" t="e">
        <f t="shared" si="23"/>
        <v>#VALUE!</v>
      </c>
      <c r="L166" s="557" t="e">
        <f t="shared" si="24"/>
        <v>#VALUE!</v>
      </c>
      <c r="M166" s="557" t="e">
        <f t="shared" si="25"/>
        <v>#VALUE!</v>
      </c>
      <c r="N166" s="558" t="e">
        <f t="shared" si="26"/>
        <v>#VALUE!</v>
      </c>
      <c r="O166" s="567" t="e">
        <f>$G$8*AVERAGE(K166:K177)</f>
        <v>#VALUE!</v>
      </c>
    </row>
    <row r="167" spans="1:15" x14ac:dyDescent="0.25">
      <c r="A167" s="548">
        <v>158</v>
      </c>
      <c r="B167" s="549">
        <v>49126</v>
      </c>
      <c r="C167" s="544" t="e">
        <f t="shared" si="19"/>
        <v>#VALUE!</v>
      </c>
      <c r="D167" s="545" t="e">
        <f t="shared" si="20"/>
        <v>#VALUE!</v>
      </c>
      <c r="E167" s="545" t="e">
        <f t="shared" si="21"/>
        <v>#VALUE!</v>
      </c>
      <c r="F167" s="546" t="e">
        <f t="shared" si="22"/>
        <v>#VALUE!</v>
      </c>
      <c r="G167" s="547"/>
      <c r="H167" s="492"/>
      <c r="I167" s="548">
        <v>158</v>
      </c>
      <c r="J167" s="549">
        <v>49126</v>
      </c>
      <c r="K167" s="544" t="e">
        <f t="shared" si="23"/>
        <v>#VALUE!</v>
      </c>
      <c r="L167" s="545" t="e">
        <f t="shared" si="24"/>
        <v>#VALUE!</v>
      </c>
      <c r="M167" s="545" t="e">
        <f t="shared" si="25"/>
        <v>#VALUE!</v>
      </c>
      <c r="N167" s="546" t="e">
        <f t="shared" si="26"/>
        <v>#VALUE!</v>
      </c>
      <c r="O167" s="547"/>
    </row>
    <row r="168" spans="1:15" x14ac:dyDescent="0.25">
      <c r="A168" s="548">
        <v>159</v>
      </c>
      <c r="B168" s="549">
        <v>49157</v>
      </c>
      <c r="C168" s="544" t="e">
        <f t="shared" si="19"/>
        <v>#VALUE!</v>
      </c>
      <c r="D168" s="545" t="e">
        <f t="shared" si="20"/>
        <v>#VALUE!</v>
      </c>
      <c r="E168" s="545" t="e">
        <f t="shared" si="21"/>
        <v>#VALUE!</v>
      </c>
      <c r="F168" s="546" t="e">
        <f t="shared" si="22"/>
        <v>#VALUE!</v>
      </c>
      <c r="G168" s="547"/>
      <c r="H168" s="492"/>
      <c r="I168" s="548">
        <v>159</v>
      </c>
      <c r="J168" s="549">
        <v>49157</v>
      </c>
      <c r="K168" s="544" t="e">
        <f t="shared" si="23"/>
        <v>#VALUE!</v>
      </c>
      <c r="L168" s="545" t="e">
        <f t="shared" si="24"/>
        <v>#VALUE!</v>
      </c>
      <c r="M168" s="545" t="e">
        <f t="shared" si="25"/>
        <v>#VALUE!</v>
      </c>
      <c r="N168" s="546" t="e">
        <f t="shared" si="26"/>
        <v>#VALUE!</v>
      </c>
      <c r="O168" s="547"/>
    </row>
    <row r="169" spans="1:15" x14ac:dyDescent="0.25">
      <c r="A169" s="548">
        <v>160</v>
      </c>
      <c r="B169" s="549">
        <v>49188</v>
      </c>
      <c r="C169" s="544" t="e">
        <f t="shared" si="19"/>
        <v>#VALUE!</v>
      </c>
      <c r="D169" s="545" t="e">
        <f t="shared" si="20"/>
        <v>#VALUE!</v>
      </c>
      <c r="E169" s="545" t="e">
        <f t="shared" si="21"/>
        <v>#VALUE!</v>
      </c>
      <c r="F169" s="546" t="e">
        <f t="shared" si="22"/>
        <v>#VALUE!</v>
      </c>
      <c r="G169" s="547"/>
      <c r="H169" s="492"/>
      <c r="I169" s="548">
        <v>160</v>
      </c>
      <c r="J169" s="549">
        <v>49188</v>
      </c>
      <c r="K169" s="544" t="e">
        <f t="shared" si="23"/>
        <v>#VALUE!</v>
      </c>
      <c r="L169" s="545" t="e">
        <f t="shared" si="24"/>
        <v>#VALUE!</v>
      </c>
      <c r="M169" s="545" t="e">
        <f t="shared" si="25"/>
        <v>#VALUE!</v>
      </c>
      <c r="N169" s="546" t="e">
        <f t="shared" si="26"/>
        <v>#VALUE!</v>
      </c>
      <c r="O169" s="547"/>
    </row>
    <row r="170" spans="1:15" x14ac:dyDescent="0.25">
      <c r="A170" s="548">
        <v>161</v>
      </c>
      <c r="B170" s="549">
        <v>49218</v>
      </c>
      <c r="C170" s="544" t="e">
        <f t="shared" si="19"/>
        <v>#VALUE!</v>
      </c>
      <c r="D170" s="545" t="e">
        <f t="shared" si="20"/>
        <v>#VALUE!</v>
      </c>
      <c r="E170" s="545" t="e">
        <f t="shared" si="21"/>
        <v>#VALUE!</v>
      </c>
      <c r="F170" s="546" t="e">
        <f t="shared" si="22"/>
        <v>#VALUE!</v>
      </c>
      <c r="G170" s="547"/>
      <c r="H170" s="492"/>
      <c r="I170" s="548">
        <v>161</v>
      </c>
      <c r="J170" s="549">
        <v>49218</v>
      </c>
      <c r="K170" s="544" t="e">
        <f t="shared" si="23"/>
        <v>#VALUE!</v>
      </c>
      <c r="L170" s="545" t="e">
        <f t="shared" si="24"/>
        <v>#VALUE!</v>
      </c>
      <c r="M170" s="545" t="e">
        <f t="shared" si="25"/>
        <v>#VALUE!</v>
      </c>
      <c r="N170" s="546" t="e">
        <f t="shared" si="26"/>
        <v>#VALUE!</v>
      </c>
      <c r="O170" s="547"/>
    </row>
    <row r="171" spans="1:15" x14ac:dyDescent="0.25">
      <c r="A171" s="548">
        <v>162</v>
      </c>
      <c r="B171" s="549">
        <v>49249</v>
      </c>
      <c r="C171" s="544" t="e">
        <f t="shared" si="19"/>
        <v>#VALUE!</v>
      </c>
      <c r="D171" s="545" t="e">
        <f t="shared" si="20"/>
        <v>#VALUE!</v>
      </c>
      <c r="E171" s="545" t="e">
        <f t="shared" si="21"/>
        <v>#VALUE!</v>
      </c>
      <c r="F171" s="546" t="e">
        <f t="shared" si="22"/>
        <v>#VALUE!</v>
      </c>
      <c r="G171" s="547"/>
      <c r="H171" s="492"/>
      <c r="I171" s="548">
        <v>162</v>
      </c>
      <c r="J171" s="549">
        <v>49249</v>
      </c>
      <c r="K171" s="544" t="e">
        <f t="shared" si="23"/>
        <v>#VALUE!</v>
      </c>
      <c r="L171" s="545" t="e">
        <f t="shared" si="24"/>
        <v>#VALUE!</v>
      </c>
      <c r="M171" s="545" t="e">
        <f t="shared" si="25"/>
        <v>#VALUE!</v>
      </c>
      <c r="N171" s="546" t="e">
        <f t="shared" si="26"/>
        <v>#VALUE!</v>
      </c>
      <c r="O171" s="547"/>
    </row>
    <row r="172" spans="1:15" x14ac:dyDescent="0.25">
      <c r="A172" s="548">
        <v>163</v>
      </c>
      <c r="B172" s="549">
        <v>49279</v>
      </c>
      <c r="C172" s="544" t="e">
        <f t="shared" si="19"/>
        <v>#VALUE!</v>
      </c>
      <c r="D172" s="545" t="e">
        <f t="shared" si="20"/>
        <v>#VALUE!</v>
      </c>
      <c r="E172" s="545" t="e">
        <f t="shared" si="21"/>
        <v>#VALUE!</v>
      </c>
      <c r="F172" s="546" t="e">
        <f t="shared" si="22"/>
        <v>#VALUE!</v>
      </c>
      <c r="G172" s="547"/>
      <c r="H172" s="492"/>
      <c r="I172" s="548">
        <v>163</v>
      </c>
      <c r="J172" s="549">
        <v>49279</v>
      </c>
      <c r="K172" s="544" t="e">
        <f t="shared" si="23"/>
        <v>#VALUE!</v>
      </c>
      <c r="L172" s="545" t="e">
        <f t="shared" si="24"/>
        <v>#VALUE!</v>
      </c>
      <c r="M172" s="545" t="e">
        <f t="shared" si="25"/>
        <v>#VALUE!</v>
      </c>
      <c r="N172" s="546" t="e">
        <f t="shared" si="26"/>
        <v>#VALUE!</v>
      </c>
      <c r="O172" s="547"/>
    </row>
    <row r="173" spans="1:15" x14ac:dyDescent="0.25">
      <c r="A173" s="548">
        <v>164</v>
      </c>
      <c r="B173" s="549">
        <v>49310</v>
      </c>
      <c r="C173" s="544" t="e">
        <f t="shared" si="19"/>
        <v>#VALUE!</v>
      </c>
      <c r="D173" s="545" t="e">
        <f t="shared" si="20"/>
        <v>#VALUE!</v>
      </c>
      <c r="E173" s="545" t="e">
        <f t="shared" si="21"/>
        <v>#VALUE!</v>
      </c>
      <c r="F173" s="546" t="e">
        <f t="shared" si="22"/>
        <v>#VALUE!</v>
      </c>
      <c r="G173" s="547"/>
      <c r="H173" s="492"/>
      <c r="I173" s="548">
        <v>164</v>
      </c>
      <c r="J173" s="549">
        <v>49310</v>
      </c>
      <c r="K173" s="544" t="e">
        <f t="shared" si="23"/>
        <v>#VALUE!</v>
      </c>
      <c r="L173" s="545" t="e">
        <f t="shared" si="24"/>
        <v>#VALUE!</v>
      </c>
      <c r="M173" s="545" t="e">
        <f t="shared" si="25"/>
        <v>#VALUE!</v>
      </c>
      <c r="N173" s="546" t="e">
        <f t="shared" si="26"/>
        <v>#VALUE!</v>
      </c>
      <c r="O173" s="547"/>
    </row>
    <row r="174" spans="1:15" x14ac:dyDescent="0.25">
      <c r="A174" s="548">
        <v>165</v>
      </c>
      <c r="B174" s="549">
        <v>49341</v>
      </c>
      <c r="C174" s="544" t="e">
        <f t="shared" si="19"/>
        <v>#VALUE!</v>
      </c>
      <c r="D174" s="545" t="e">
        <f t="shared" si="20"/>
        <v>#VALUE!</v>
      </c>
      <c r="E174" s="545" t="e">
        <f t="shared" si="21"/>
        <v>#VALUE!</v>
      </c>
      <c r="F174" s="546" t="e">
        <f t="shared" si="22"/>
        <v>#VALUE!</v>
      </c>
      <c r="G174" s="547"/>
      <c r="H174" s="492"/>
      <c r="I174" s="548">
        <v>165</v>
      </c>
      <c r="J174" s="549">
        <v>49341</v>
      </c>
      <c r="K174" s="544" t="e">
        <f t="shared" si="23"/>
        <v>#VALUE!</v>
      </c>
      <c r="L174" s="545" t="e">
        <f t="shared" si="24"/>
        <v>#VALUE!</v>
      </c>
      <c r="M174" s="545" t="e">
        <f t="shared" si="25"/>
        <v>#VALUE!</v>
      </c>
      <c r="N174" s="546" t="e">
        <f t="shared" si="26"/>
        <v>#VALUE!</v>
      </c>
      <c r="O174" s="547"/>
    </row>
    <row r="175" spans="1:15" x14ac:dyDescent="0.25">
      <c r="A175" s="548">
        <v>166</v>
      </c>
      <c r="B175" s="549">
        <v>49369</v>
      </c>
      <c r="C175" s="544" t="e">
        <f t="shared" si="19"/>
        <v>#VALUE!</v>
      </c>
      <c r="D175" s="545" t="e">
        <f t="shared" si="20"/>
        <v>#VALUE!</v>
      </c>
      <c r="E175" s="545" t="e">
        <f t="shared" si="21"/>
        <v>#VALUE!</v>
      </c>
      <c r="F175" s="546" t="e">
        <f t="shared" si="22"/>
        <v>#VALUE!</v>
      </c>
      <c r="G175" s="547"/>
      <c r="H175" s="492"/>
      <c r="I175" s="548">
        <v>166</v>
      </c>
      <c r="J175" s="549">
        <v>49369</v>
      </c>
      <c r="K175" s="544" t="e">
        <f t="shared" si="23"/>
        <v>#VALUE!</v>
      </c>
      <c r="L175" s="545" t="e">
        <f t="shared" si="24"/>
        <v>#VALUE!</v>
      </c>
      <c r="M175" s="545" t="e">
        <f t="shared" si="25"/>
        <v>#VALUE!</v>
      </c>
      <c r="N175" s="546" t="e">
        <f t="shared" si="26"/>
        <v>#VALUE!</v>
      </c>
      <c r="O175" s="547"/>
    </row>
    <row r="176" spans="1:15" x14ac:dyDescent="0.25">
      <c r="A176" s="548">
        <v>167</v>
      </c>
      <c r="B176" s="549">
        <v>49400</v>
      </c>
      <c r="C176" s="544" t="e">
        <f t="shared" si="19"/>
        <v>#VALUE!</v>
      </c>
      <c r="D176" s="545" t="e">
        <f t="shared" si="20"/>
        <v>#VALUE!</v>
      </c>
      <c r="E176" s="545" t="e">
        <f t="shared" si="21"/>
        <v>#VALUE!</v>
      </c>
      <c r="F176" s="546" t="e">
        <f t="shared" si="22"/>
        <v>#VALUE!</v>
      </c>
      <c r="G176" s="547"/>
      <c r="H176" s="492"/>
      <c r="I176" s="548">
        <v>167</v>
      </c>
      <c r="J176" s="549">
        <v>49400</v>
      </c>
      <c r="K176" s="544" t="e">
        <f t="shared" si="23"/>
        <v>#VALUE!</v>
      </c>
      <c r="L176" s="545" t="e">
        <f t="shared" si="24"/>
        <v>#VALUE!</v>
      </c>
      <c r="M176" s="545" t="e">
        <f t="shared" si="25"/>
        <v>#VALUE!</v>
      </c>
      <c r="N176" s="546" t="e">
        <f t="shared" si="26"/>
        <v>#VALUE!</v>
      </c>
      <c r="O176" s="547"/>
    </row>
    <row r="177" spans="1:15" ht="14.4" thickBot="1" x14ac:dyDescent="0.3">
      <c r="A177" s="548">
        <v>168</v>
      </c>
      <c r="B177" s="549">
        <v>49430</v>
      </c>
      <c r="C177" s="559" t="e">
        <f t="shared" si="19"/>
        <v>#VALUE!</v>
      </c>
      <c r="D177" s="560" t="e">
        <f t="shared" si="20"/>
        <v>#VALUE!</v>
      </c>
      <c r="E177" s="560" t="e">
        <f t="shared" si="21"/>
        <v>#VALUE!</v>
      </c>
      <c r="F177" s="561" t="e">
        <f t="shared" si="22"/>
        <v>#VALUE!</v>
      </c>
      <c r="G177" s="547"/>
      <c r="H177" s="492"/>
      <c r="I177" s="548">
        <v>168</v>
      </c>
      <c r="J177" s="549">
        <v>49430</v>
      </c>
      <c r="K177" s="559" t="e">
        <f t="shared" si="23"/>
        <v>#VALUE!</v>
      </c>
      <c r="L177" s="560" t="e">
        <f t="shared" si="24"/>
        <v>#VALUE!</v>
      </c>
      <c r="M177" s="560" t="e">
        <f t="shared" si="25"/>
        <v>#VALUE!</v>
      </c>
      <c r="N177" s="561" t="e">
        <f t="shared" si="26"/>
        <v>#VALUE!</v>
      </c>
      <c r="O177" s="547"/>
    </row>
    <row r="178" spans="1:15" x14ac:dyDescent="0.25">
      <c r="A178" s="562">
        <v>169</v>
      </c>
      <c r="B178" s="563">
        <v>49461</v>
      </c>
      <c r="C178" s="564" t="e">
        <f t="shared" si="19"/>
        <v>#VALUE!</v>
      </c>
      <c r="D178" s="565" t="e">
        <f t="shared" si="20"/>
        <v>#VALUE!</v>
      </c>
      <c r="E178" s="565" t="e">
        <f t="shared" si="21"/>
        <v>#VALUE!</v>
      </c>
      <c r="F178" s="566" t="e">
        <f t="shared" si="22"/>
        <v>#VALUE!</v>
      </c>
      <c r="G178" s="567" t="e">
        <f>$G$8*AVERAGE(C178:C189)</f>
        <v>#VALUE!</v>
      </c>
      <c r="H178" s="492"/>
      <c r="I178" s="562">
        <v>169</v>
      </c>
      <c r="J178" s="563">
        <v>49461</v>
      </c>
      <c r="K178" s="564" t="e">
        <f t="shared" si="23"/>
        <v>#VALUE!</v>
      </c>
      <c r="L178" s="565" t="e">
        <f t="shared" si="24"/>
        <v>#VALUE!</v>
      </c>
      <c r="M178" s="565" t="e">
        <f t="shared" si="25"/>
        <v>#VALUE!</v>
      </c>
      <c r="N178" s="566" t="e">
        <f t="shared" si="26"/>
        <v>#VALUE!</v>
      </c>
      <c r="O178" s="567" t="e">
        <f>$G$8*AVERAGE(K178:K189)</f>
        <v>#VALUE!</v>
      </c>
    </row>
    <row r="179" spans="1:15" x14ac:dyDescent="0.25">
      <c r="A179" s="548">
        <v>170</v>
      </c>
      <c r="B179" s="549">
        <v>49491</v>
      </c>
      <c r="C179" s="544" t="e">
        <f t="shared" si="19"/>
        <v>#VALUE!</v>
      </c>
      <c r="D179" s="545" t="e">
        <f t="shared" si="20"/>
        <v>#VALUE!</v>
      </c>
      <c r="E179" s="545" t="e">
        <f t="shared" si="21"/>
        <v>#VALUE!</v>
      </c>
      <c r="F179" s="546" t="e">
        <f t="shared" si="22"/>
        <v>#VALUE!</v>
      </c>
      <c r="G179" s="547"/>
      <c r="H179" s="492"/>
      <c r="I179" s="548">
        <v>170</v>
      </c>
      <c r="J179" s="549">
        <v>49491</v>
      </c>
      <c r="K179" s="544" t="e">
        <f t="shared" si="23"/>
        <v>#VALUE!</v>
      </c>
      <c r="L179" s="545" t="e">
        <f t="shared" si="24"/>
        <v>#VALUE!</v>
      </c>
      <c r="M179" s="545" t="e">
        <f t="shared" si="25"/>
        <v>#VALUE!</v>
      </c>
      <c r="N179" s="546" t="e">
        <f t="shared" si="26"/>
        <v>#VALUE!</v>
      </c>
      <c r="O179" s="547"/>
    </row>
    <row r="180" spans="1:15" x14ac:dyDescent="0.25">
      <c r="A180" s="548">
        <v>171</v>
      </c>
      <c r="B180" s="549">
        <v>49522</v>
      </c>
      <c r="C180" s="544" t="e">
        <f t="shared" si="19"/>
        <v>#VALUE!</v>
      </c>
      <c r="D180" s="545" t="e">
        <f t="shared" si="20"/>
        <v>#VALUE!</v>
      </c>
      <c r="E180" s="545" t="e">
        <f t="shared" si="21"/>
        <v>#VALUE!</v>
      </c>
      <c r="F180" s="546" t="e">
        <f t="shared" si="22"/>
        <v>#VALUE!</v>
      </c>
      <c r="G180" s="547"/>
      <c r="H180" s="492"/>
      <c r="I180" s="548">
        <v>171</v>
      </c>
      <c r="J180" s="549">
        <v>49522</v>
      </c>
      <c r="K180" s="544" t="e">
        <f t="shared" si="23"/>
        <v>#VALUE!</v>
      </c>
      <c r="L180" s="545" t="e">
        <f t="shared" si="24"/>
        <v>#VALUE!</v>
      </c>
      <c r="M180" s="545" t="e">
        <f t="shared" si="25"/>
        <v>#VALUE!</v>
      </c>
      <c r="N180" s="546" t="e">
        <f t="shared" si="26"/>
        <v>#VALUE!</v>
      </c>
      <c r="O180" s="547"/>
    </row>
    <row r="181" spans="1:15" x14ac:dyDescent="0.25">
      <c r="A181" s="548">
        <v>172</v>
      </c>
      <c r="B181" s="549">
        <v>49553</v>
      </c>
      <c r="C181" s="544" t="e">
        <f t="shared" si="19"/>
        <v>#VALUE!</v>
      </c>
      <c r="D181" s="545" t="e">
        <f t="shared" si="20"/>
        <v>#VALUE!</v>
      </c>
      <c r="E181" s="545" t="e">
        <f t="shared" si="21"/>
        <v>#VALUE!</v>
      </c>
      <c r="F181" s="546" t="e">
        <f t="shared" si="22"/>
        <v>#VALUE!</v>
      </c>
      <c r="G181" s="547"/>
      <c r="H181" s="492"/>
      <c r="I181" s="548">
        <v>172</v>
      </c>
      <c r="J181" s="549">
        <v>49553</v>
      </c>
      <c r="K181" s="544" t="e">
        <f t="shared" si="23"/>
        <v>#VALUE!</v>
      </c>
      <c r="L181" s="545" t="e">
        <f t="shared" si="24"/>
        <v>#VALUE!</v>
      </c>
      <c r="M181" s="545" t="e">
        <f t="shared" si="25"/>
        <v>#VALUE!</v>
      </c>
      <c r="N181" s="546" t="e">
        <f t="shared" si="26"/>
        <v>#VALUE!</v>
      </c>
      <c r="O181" s="547"/>
    </row>
    <row r="182" spans="1:15" x14ac:dyDescent="0.25">
      <c r="A182" s="548">
        <v>173</v>
      </c>
      <c r="B182" s="549">
        <v>49583</v>
      </c>
      <c r="C182" s="544" t="e">
        <f t="shared" si="19"/>
        <v>#VALUE!</v>
      </c>
      <c r="D182" s="545" t="e">
        <f t="shared" si="20"/>
        <v>#VALUE!</v>
      </c>
      <c r="E182" s="545" t="e">
        <f t="shared" si="21"/>
        <v>#VALUE!</v>
      </c>
      <c r="F182" s="546" t="e">
        <f t="shared" si="22"/>
        <v>#VALUE!</v>
      </c>
      <c r="G182" s="547"/>
      <c r="H182" s="492"/>
      <c r="I182" s="548">
        <v>173</v>
      </c>
      <c r="J182" s="549">
        <v>49583</v>
      </c>
      <c r="K182" s="544" t="e">
        <f t="shared" si="23"/>
        <v>#VALUE!</v>
      </c>
      <c r="L182" s="545" t="e">
        <f t="shared" si="24"/>
        <v>#VALUE!</v>
      </c>
      <c r="M182" s="545" t="e">
        <f t="shared" si="25"/>
        <v>#VALUE!</v>
      </c>
      <c r="N182" s="546" t="e">
        <f t="shared" si="26"/>
        <v>#VALUE!</v>
      </c>
      <c r="O182" s="547"/>
    </row>
    <row r="183" spans="1:15" x14ac:dyDescent="0.25">
      <c r="A183" s="548">
        <v>174</v>
      </c>
      <c r="B183" s="549">
        <v>49614</v>
      </c>
      <c r="C183" s="544" t="e">
        <f t="shared" si="19"/>
        <v>#VALUE!</v>
      </c>
      <c r="D183" s="545" t="e">
        <f t="shared" si="20"/>
        <v>#VALUE!</v>
      </c>
      <c r="E183" s="545" t="e">
        <f t="shared" si="21"/>
        <v>#VALUE!</v>
      </c>
      <c r="F183" s="546" t="e">
        <f t="shared" si="22"/>
        <v>#VALUE!</v>
      </c>
      <c r="G183" s="547"/>
      <c r="H183" s="492"/>
      <c r="I183" s="548">
        <v>174</v>
      </c>
      <c r="J183" s="549">
        <v>49614</v>
      </c>
      <c r="K183" s="544" t="e">
        <f t="shared" si="23"/>
        <v>#VALUE!</v>
      </c>
      <c r="L183" s="545" t="e">
        <f t="shared" si="24"/>
        <v>#VALUE!</v>
      </c>
      <c r="M183" s="545" t="e">
        <f t="shared" si="25"/>
        <v>#VALUE!</v>
      </c>
      <c r="N183" s="546" t="e">
        <f t="shared" si="26"/>
        <v>#VALUE!</v>
      </c>
      <c r="O183" s="547"/>
    </row>
    <row r="184" spans="1:15" x14ac:dyDescent="0.25">
      <c r="A184" s="548">
        <v>175</v>
      </c>
      <c r="B184" s="549">
        <v>49644</v>
      </c>
      <c r="C184" s="544" t="e">
        <f t="shared" si="19"/>
        <v>#VALUE!</v>
      </c>
      <c r="D184" s="545" t="e">
        <f t="shared" si="20"/>
        <v>#VALUE!</v>
      </c>
      <c r="E184" s="545" t="e">
        <f t="shared" si="21"/>
        <v>#VALUE!</v>
      </c>
      <c r="F184" s="546" t="e">
        <f t="shared" si="22"/>
        <v>#VALUE!</v>
      </c>
      <c r="G184" s="547"/>
      <c r="H184" s="492"/>
      <c r="I184" s="548">
        <v>175</v>
      </c>
      <c r="J184" s="549">
        <v>49644</v>
      </c>
      <c r="K184" s="544" t="e">
        <f t="shared" si="23"/>
        <v>#VALUE!</v>
      </c>
      <c r="L184" s="545" t="e">
        <f t="shared" si="24"/>
        <v>#VALUE!</v>
      </c>
      <c r="M184" s="545" t="e">
        <f t="shared" si="25"/>
        <v>#VALUE!</v>
      </c>
      <c r="N184" s="546" t="e">
        <f t="shared" si="26"/>
        <v>#VALUE!</v>
      </c>
      <c r="O184" s="547"/>
    </row>
    <row r="185" spans="1:15" x14ac:dyDescent="0.25">
      <c r="A185" s="548">
        <v>176</v>
      </c>
      <c r="B185" s="549">
        <v>49675</v>
      </c>
      <c r="C185" s="544" t="e">
        <f t="shared" si="19"/>
        <v>#VALUE!</v>
      </c>
      <c r="D185" s="545" t="e">
        <f t="shared" si="20"/>
        <v>#VALUE!</v>
      </c>
      <c r="E185" s="545" t="e">
        <f t="shared" si="21"/>
        <v>#VALUE!</v>
      </c>
      <c r="F185" s="546" t="e">
        <f t="shared" si="22"/>
        <v>#VALUE!</v>
      </c>
      <c r="G185" s="547"/>
      <c r="H185" s="492"/>
      <c r="I185" s="548">
        <v>176</v>
      </c>
      <c r="J185" s="549">
        <v>49675</v>
      </c>
      <c r="K185" s="544" t="e">
        <f t="shared" si="23"/>
        <v>#VALUE!</v>
      </c>
      <c r="L185" s="545" t="e">
        <f t="shared" si="24"/>
        <v>#VALUE!</v>
      </c>
      <c r="M185" s="545" t="e">
        <f t="shared" si="25"/>
        <v>#VALUE!</v>
      </c>
      <c r="N185" s="546" t="e">
        <f t="shared" si="26"/>
        <v>#VALUE!</v>
      </c>
      <c r="O185" s="547"/>
    </row>
    <row r="186" spans="1:15" x14ac:dyDescent="0.25">
      <c r="A186" s="548">
        <v>177</v>
      </c>
      <c r="B186" s="549">
        <v>49706</v>
      </c>
      <c r="C186" s="544" t="e">
        <f t="shared" si="19"/>
        <v>#VALUE!</v>
      </c>
      <c r="D186" s="545" t="e">
        <f t="shared" si="20"/>
        <v>#VALUE!</v>
      </c>
      <c r="E186" s="545" t="e">
        <f t="shared" si="21"/>
        <v>#VALUE!</v>
      </c>
      <c r="F186" s="546" t="e">
        <f t="shared" si="22"/>
        <v>#VALUE!</v>
      </c>
      <c r="G186" s="547"/>
      <c r="H186" s="492"/>
      <c r="I186" s="548">
        <v>177</v>
      </c>
      <c r="J186" s="549">
        <v>49706</v>
      </c>
      <c r="K186" s="544" t="e">
        <f t="shared" si="23"/>
        <v>#VALUE!</v>
      </c>
      <c r="L186" s="545" t="e">
        <f t="shared" si="24"/>
        <v>#VALUE!</v>
      </c>
      <c r="M186" s="545" t="e">
        <f t="shared" si="25"/>
        <v>#VALUE!</v>
      </c>
      <c r="N186" s="546" t="e">
        <f t="shared" si="26"/>
        <v>#VALUE!</v>
      </c>
      <c r="O186" s="547"/>
    </row>
    <row r="187" spans="1:15" x14ac:dyDescent="0.25">
      <c r="A187" s="548">
        <v>178</v>
      </c>
      <c r="B187" s="549">
        <v>49735</v>
      </c>
      <c r="C187" s="544" t="e">
        <f t="shared" si="19"/>
        <v>#VALUE!</v>
      </c>
      <c r="D187" s="545" t="e">
        <f t="shared" si="20"/>
        <v>#VALUE!</v>
      </c>
      <c r="E187" s="545" t="e">
        <f t="shared" si="21"/>
        <v>#VALUE!</v>
      </c>
      <c r="F187" s="546" t="e">
        <f t="shared" si="22"/>
        <v>#VALUE!</v>
      </c>
      <c r="G187" s="547"/>
      <c r="H187" s="492"/>
      <c r="I187" s="548">
        <v>178</v>
      </c>
      <c r="J187" s="549">
        <v>49735</v>
      </c>
      <c r="K187" s="544" t="e">
        <f t="shared" si="23"/>
        <v>#VALUE!</v>
      </c>
      <c r="L187" s="545" t="e">
        <f t="shared" si="24"/>
        <v>#VALUE!</v>
      </c>
      <c r="M187" s="545" t="e">
        <f t="shared" si="25"/>
        <v>#VALUE!</v>
      </c>
      <c r="N187" s="546" t="e">
        <f t="shared" si="26"/>
        <v>#VALUE!</v>
      </c>
      <c r="O187" s="547"/>
    </row>
    <row r="188" spans="1:15" x14ac:dyDescent="0.25">
      <c r="A188" s="548">
        <v>179</v>
      </c>
      <c r="B188" s="549">
        <v>49766</v>
      </c>
      <c r="C188" s="544" t="e">
        <f t="shared" si="19"/>
        <v>#VALUE!</v>
      </c>
      <c r="D188" s="545" t="e">
        <f t="shared" si="20"/>
        <v>#VALUE!</v>
      </c>
      <c r="E188" s="545" t="e">
        <f t="shared" si="21"/>
        <v>#VALUE!</v>
      </c>
      <c r="F188" s="546" t="e">
        <f t="shared" si="22"/>
        <v>#VALUE!</v>
      </c>
      <c r="G188" s="547"/>
      <c r="H188" s="492"/>
      <c r="I188" s="548">
        <v>179</v>
      </c>
      <c r="J188" s="549">
        <v>49766</v>
      </c>
      <c r="K188" s="544" t="e">
        <f t="shared" si="23"/>
        <v>#VALUE!</v>
      </c>
      <c r="L188" s="545" t="e">
        <f t="shared" si="24"/>
        <v>#VALUE!</v>
      </c>
      <c r="M188" s="545" t="e">
        <f t="shared" si="25"/>
        <v>#VALUE!</v>
      </c>
      <c r="N188" s="546" t="e">
        <f t="shared" si="26"/>
        <v>#VALUE!</v>
      </c>
      <c r="O188" s="547"/>
    </row>
    <row r="189" spans="1:15" ht="14.4" thickBot="1" x14ac:dyDescent="0.3">
      <c r="A189" s="550">
        <v>180</v>
      </c>
      <c r="B189" s="551">
        <v>49796</v>
      </c>
      <c r="C189" s="552" t="e">
        <f t="shared" si="19"/>
        <v>#VALUE!</v>
      </c>
      <c r="D189" s="553" t="e">
        <f t="shared" si="20"/>
        <v>#VALUE!</v>
      </c>
      <c r="E189" s="553" t="e">
        <f t="shared" si="21"/>
        <v>#VALUE!</v>
      </c>
      <c r="F189" s="554" t="e">
        <f t="shared" si="22"/>
        <v>#VALUE!</v>
      </c>
      <c r="G189" s="555"/>
      <c r="H189" s="492"/>
      <c r="I189" s="550">
        <v>180</v>
      </c>
      <c r="J189" s="551">
        <v>49796</v>
      </c>
      <c r="K189" s="552" t="e">
        <f t="shared" si="23"/>
        <v>#VALUE!</v>
      </c>
      <c r="L189" s="553" t="e">
        <f t="shared" si="24"/>
        <v>#VALUE!</v>
      </c>
      <c r="M189" s="553" t="e">
        <f t="shared" si="25"/>
        <v>#VALUE!</v>
      </c>
      <c r="N189" s="554" t="e">
        <f t="shared" si="26"/>
        <v>#VALUE!</v>
      </c>
      <c r="O189" s="555"/>
    </row>
    <row r="190" spans="1:15" x14ac:dyDescent="0.25">
      <c r="A190" s="548">
        <v>181</v>
      </c>
      <c r="B190" s="549">
        <v>49827</v>
      </c>
      <c r="C190" s="556" t="e">
        <f t="shared" si="19"/>
        <v>#VALUE!</v>
      </c>
      <c r="D190" s="557" t="e">
        <f t="shared" si="20"/>
        <v>#VALUE!</v>
      </c>
      <c r="E190" s="557" t="e">
        <f t="shared" si="21"/>
        <v>#VALUE!</v>
      </c>
      <c r="F190" s="558" t="e">
        <f t="shared" si="22"/>
        <v>#VALUE!</v>
      </c>
      <c r="G190" s="567" t="e">
        <f>$G$8*AVERAGE(C190:C201)</f>
        <v>#VALUE!</v>
      </c>
      <c r="H190" s="492"/>
    </row>
    <row r="191" spans="1:15" x14ac:dyDescent="0.25">
      <c r="A191" s="548">
        <v>182</v>
      </c>
      <c r="B191" s="549">
        <v>49857</v>
      </c>
      <c r="C191" s="544" t="e">
        <f t="shared" si="19"/>
        <v>#VALUE!</v>
      </c>
      <c r="D191" s="545" t="e">
        <f t="shared" si="20"/>
        <v>#VALUE!</v>
      </c>
      <c r="E191" s="545" t="e">
        <f t="shared" si="21"/>
        <v>#VALUE!</v>
      </c>
      <c r="F191" s="546" t="e">
        <f t="shared" si="22"/>
        <v>#VALUE!</v>
      </c>
      <c r="G191" s="547"/>
      <c r="H191" s="492"/>
    </row>
    <row r="192" spans="1:15" x14ac:dyDescent="0.25">
      <c r="A192" s="548">
        <v>183</v>
      </c>
      <c r="B192" s="549">
        <v>49888</v>
      </c>
      <c r="C192" s="544" t="e">
        <f t="shared" si="19"/>
        <v>#VALUE!</v>
      </c>
      <c r="D192" s="545" t="e">
        <f t="shared" si="20"/>
        <v>#VALUE!</v>
      </c>
      <c r="E192" s="545" t="e">
        <f t="shared" si="21"/>
        <v>#VALUE!</v>
      </c>
      <c r="F192" s="546" t="e">
        <f t="shared" si="22"/>
        <v>#VALUE!</v>
      </c>
      <c r="G192" s="547"/>
      <c r="H192" s="492"/>
    </row>
    <row r="193" spans="1:8" x14ac:dyDescent="0.25">
      <c r="A193" s="548">
        <v>184</v>
      </c>
      <c r="B193" s="549">
        <v>49919</v>
      </c>
      <c r="C193" s="544" t="e">
        <f t="shared" si="19"/>
        <v>#VALUE!</v>
      </c>
      <c r="D193" s="545" t="e">
        <f t="shared" si="20"/>
        <v>#VALUE!</v>
      </c>
      <c r="E193" s="545" t="e">
        <f t="shared" si="21"/>
        <v>#VALUE!</v>
      </c>
      <c r="F193" s="546" t="e">
        <f t="shared" si="22"/>
        <v>#VALUE!</v>
      </c>
      <c r="G193" s="547"/>
      <c r="H193" s="492"/>
    </row>
    <row r="194" spans="1:8" x14ac:dyDescent="0.25">
      <c r="A194" s="548">
        <v>185</v>
      </c>
      <c r="B194" s="549">
        <v>49949</v>
      </c>
      <c r="C194" s="544" t="e">
        <f t="shared" si="19"/>
        <v>#VALUE!</v>
      </c>
      <c r="D194" s="545" t="e">
        <f t="shared" si="20"/>
        <v>#VALUE!</v>
      </c>
      <c r="E194" s="545" t="e">
        <f t="shared" si="21"/>
        <v>#VALUE!</v>
      </c>
      <c r="F194" s="546" t="e">
        <f t="shared" si="22"/>
        <v>#VALUE!</v>
      </c>
      <c r="G194" s="547"/>
      <c r="H194" s="492"/>
    </row>
    <row r="195" spans="1:8" x14ac:dyDescent="0.25">
      <c r="A195" s="548">
        <v>186</v>
      </c>
      <c r="B195" s="549">
        <v>49980</v>
      </c>
      <c r="C195" s="544" t="e">
        <f t="shared" si="19"/>
        <v>#VALUE!</v>
      </c>
      <c r="D195" s="545" t="e">
        <f t="shared" si="20"/>
        <v>#VALUE!</v>
      </c>
      <c r="E195" s="545" t="e">
        <f t="shared" si="21"/>
        <v>#VALUE!</v>
      </c>
      <c r="F195" s="546" t="e">
        <f t="shared" si="22"/>
        <v>#VALUE!</v>
      </c>
      <c r="G195" s="547"/>
      <c r="H195" s="492"/>
    </row>
    <row r="196" spans="1:8" x14ac:dyDescent="0.25">
      <c r="A196" s="548">
        <v>187</v>
      </c>
      <c r="B196" s="549">
        <v>50010</v>
      </c>
      <c r="C196" s="544" t="e">
        <f t="shared" si="19"/>
        <v>#VALUE!</v>
      </c>
      <c r="D196" s="545" t="e">
        <f t="shared" si="20"/>
        <v>#VALUE!</v>
      </c>
      <c r="E196" s="545" t="e">
        <f t="shared" si="21"/>
        <v>#VALUE!</v>
      </c>
      <c r="F196" s="546" t="e">
        <f t="shared" si="22"/>
        <v>#VALUE!</v>
      </c>
      <c r="G196" s="547"/>
      <c r="H196" s="492"/>
    </row>
    <row r="197" spans="1:8" x14ac:dyDescent="0.25">
      <c r="A197" s="548">
        <v>188</v>
      </c>
      <c r="B197" s="549">
        <v>50041</v>
      </c>
      <c r="C197" s="544" t="e">
        <f t="shared" si="19"/>
        <v>#VALUE!</v>
      </c>
      <c r="D197" s="545" t="e">
        <f t="shared" si="20"/>
        <v>#VALUE!</v>
      </c>
      <c r="E197" s="545" t="e">
        <f t="shared" si="21"/>
        <v>#VALUE!</v>
      </c>
      <c r="F197" s="546" t="e">
        <f t="shared" si="22"/>
        <v>#VALUE!</v>
      </c>
      <c r="G197" s="547"/>
      <c r="H197" s="492"/>
    </row>
    <row r="198" spans="1:8" x14ac:dyDescent="0.25">
      <c r="A198" s="548">
        <v>189</v>
      </c>
      <c r="B198" s="549">
        <v>50072</v>
      </c>
      <c r="C198" s="544" t="e">
        <f t="shared" si="19"/>
        <v>#VALUE!</v>
      </c>
      <c r="D198" s="545" t="e">
        <f t="shared" si="20"/>
        <v>#VALUE!</v>
      </c>
      <c r="E198" s="545" t="e">
        <f t="shared" si="21"/>
        <v>#VALUE!</v>
      </c>
      <c r="F198" s="546" t="e">
        <f t="shared" si="22"/>
        <v>#VALUE!</v>
      </c>
      <c r="G198" s="547"/>
      <c r="H198" s="492"/>
    </row>
    <row r="199" spans="1:8" x14ac:dyDescent="0.25">
      <c r="A199" s="548">
        <v>190</v>
      </c>
      <c r="B199" s="549">
        <v>50100</v>
      </c>
      <c r="C199" s="544" t="e">
        <f t="shared" si="19"/>
        <v>#VALUE!</v>
      </c>
      <c r="D199" s="545" t="e">
        <f t="shared" si="20"/>
        <v>#VALUE!</v>
      </c>
      <c r="E199" s="545" t="e">
        <f t="shared" si="21"/>
        <v>#VALUE!</v>
      </c>
      <c r="F199" s="546" t="e">
        <f t="shared" si="22"/>
        <v>#VALUE!</v>
      </c>
      <c r="G199" s="547"/>
      <c r="H199" s="492"/>
    </row>
    <row r="200" spans="1:8" x14ac:dyDescent="0.25">
      <c r="A200" s="548">
        <v>191</v>
      </c>
      <c r="B200" s="549">
        <v>50131</v>
      </c>
      <c r="C200" s="544" t="e">
        <f t="shared" si="19"/>
        <v>#VALUE!</v>
      </c>
      <c r="D200" s="545" t="e">
        <f t="shared" si="20"/>
        <v>#VALUE!</v>
      </c>
      <c r="E200" s="545" t="e">
        <f t="shared" si="21"/>
        <v>#VALUE!</v>
      </c>
      <c r="F200" s="546" t="e">
        <f t="shared" si="22"/>
        <v>#VALUE!</v>
      </c>
      <c r="G200" s="547"/>
      <c r="H200" s="492"/>
    </row>
    <row r="201" spans="1:8" ht="14.4" thickBot="1" x14ac:dyDescent="0.3">
      <c r="A201" s="548">
        <v>192</v>
      </c>
      <c r="B201" s="549">
        <v>50161</v>
      </c>
      <c r="C201" s="559" t="e">
        <f t="shared" si="19"/>
        <v>#VALUE!</v>
      </c>
      <c r="D201" s="560" t="e">
        <f t="shared" si="20"/>
        <v>#VALUE!</v>
      </c>
      <c r="E201" s="560" t="e">
        <f t="shared" si="21"/>
        <v>#VALUE!</v>
      </c>
      <c r="F201" s="561" t="e">
        <f t="shared" si="22"/>
        <v>#VALUE!</v>
      </c>
      <c r="G201" s="547"/>
      <c r="H201" s="492"/>
    </row>
    <row r="202" spans="1:8" x14ac:dyDescent="0.25">
      <c r="A202" s="562">
        <v>193</v>
      </c>
      <c r="B202" s="563">
        <v>50192</v>
      </c>
      <c r="C202" s="564" t="e">
        <f t="shared" si="19"/>
        <v>#VALUE!</v>
      </c>
      <c r="D202" s="565" t="e">
        <f t="shared" si="20"/>
        <v>#VALUE!</v>
      </c>
      <c r="E202" s="565" t="e">
        <f t="shared" si="21"/>
        <v>#VALUE!</v>
      </c>
      <c r="F202" s="566" t="e">
        <f t="shared" si="22"/>
        <v>#VALUE!</v>
      </c>
      <c r="G202" s="567" t="e">
        <f>$G$8*AVERAGE(C202:C213)</f>
        <v>#VALUE!</v>
      </c>
      <c r="H202" s="492"/>
    </row>
    <row r="203" spans="1:8" x14ac:dyDescent="0.25">
      <c r="A203" s="548">
        <v>194</v>
      </c>
      <c r="B203" s="549">
        <v>50222</v>
      </c>
      <c r="C203" s="544" t="e">
        <f t="shared" ref="C203:C266" si="27">C202-D203</f>
        <v>#VALUE!</v>
      </c>
      <c r="D203" s="545" t="e">
        <f t="shared" ref="D203:D266" si="28">-PPMT($C$4/12,A203,$F$4*$F$6,$C$3)</f>
        <v>#VALUE!</v>
      </c>
      <c r="E203" s="545" t="e">
        <f t="shared" ref="E203:E266" si="29">F203-D203</f>
        <v>#VALUE!</v>
      </c>
      <c r="F203" s="546" t="e">
        <f t="shared" ref="F203:F266" si="30">$F$3</f>
        <v>#VALUE!</v>
      </c>
      <c r="G203" s="547"/>
      <c r="H203" s="492"/>
    </row>
    <row r="204" spans="1:8" x14ac:dyDescent="0.25">
      <c r="A204" s="548">
        <v>195</v>
      </c>
      <c r="B204" s="549">
        <v>50253</v>
      </c>
      <c r="C204" s="544" t="e">
        <f t="shared" si="27"/>
        <v>#VALUE!</v>
      </c>
      <c r="D204" s="545" t="e">
        <f t="shared" si="28"/>
        <v>#VALUE!</v>
      </c>
      <c r="E204" s="545" t="e">
        <f t="shared" si="29"/>
        <v>#VALUE!</v>
      </c>
      <c r="F204" s="546" t="e">
        <f t="shared" si="30"/>
        <v>#VALUE!</v>
      </c>
      <c r="G204" s="547"/>
      <c r="H204" s="492"/>
    </row>
    <row r="205" spans="1:8" x14ac:dyDescent="0.25">
      <c r="A205" s="548">
        <v>196</v>
      </c>
      <c r="B205" s="549">
        <v>50284</v>
      </c>
      <c r="C205" s="544" t="e">
        <f t="shared" si="27"/>
        <v>#VALUE!</v>
      </c>
      <c r="D205" s="545" t="e">
        <f t="shared" si="28"/>
        <v>#VALUE!</v>
      </c>
      <c r="E205" s="545" t="e">
        <f t="shared" si="29"/>
        <v>#VALUE!</v>
      </c>
      <c r="F205" s="546" t="e">
        <f t="shared" si="30"/>
        <v>#VALUE!</v>
      </c>
      <c r="G205" s="547"/>
      <c r="H205" s="492"/>
    </row>
    <row r="206" spans="1:8" x14ac:dyDescent="0.25">
      <c r="A206" s="548">
        <v>197</v>
      </c>
      <c r="B206" s="549">
        <v>50314</v>
      </c>
      <c r="C206" s="544" t="e">
        <f t="shared" si="27"/>
        <v>#VALUE!</v>
      </c>
      <c r="D206" s="545" t="e">
        <f t="shared" si="28"/>
        <v>#VALUE!</v>
      </c>
      <c r="E206" s="545" t="e">
        <f t="shared" si="29"/>
        <v>#VALUE!</v>
      </c>
      <c r="F206" s="546" t="e">
        <f t="shared" si="30"/>
        <v>#VALUE!</v>
      </c>
      <c r="G206" s="547"/>
      <c r="H206" s="492"/>
    </row>
    <row r="207" spans="1:8" x14ac:dyDescent="0.25">
      <c r="A207" s="548">
        <v>198</v>
      </c>
      <c r="B207" s="549">
        <v>50345</v>
      </c>
      <c r="C207" s="544" t="e">
        <f t="shared" si="27"/>
        <v>#VALUE!</v>
      </c>
      <c r="D207" s="545" t="e">
        <f t="shared" si="28"/>
        <v>#VALUE!</v>
      </c>
      <c r="E207" s="545" t="e">
        <f t="shared" si="29"/>
        <v>#VALUE!</v>
      </c>
      <c r="F207" s="546" t="e">
        <f t="shared" si="30"/>
        <v>#VALUE!</v>
      </c>
      <c r="G207" s="547"/>
      <c r="H207" s="492"/>
    </row>
    <row r="208" spans="1:8" x14ac:dyDescent="0.25">
      <c r="A208" s="548">
        <v>199</v>
      </c>
      <c r="B208" s="549">
        <v>50375</v>
      </c>
      <c r="C208" s="544" t="e">
        <f t="shared" si="27"/>
        <v>#VALUE!</v>
      </c>
      <c r="D208" s="545" t="e">
        <f t="shared" si="28"/>
        <v>#VALUE!</v>
      </c>
      <c r="E208" s="545" t="e">
        <f t="shared" si="29"/>
        <v>#VALUE!</v>
      </c>
      <c r="F208" s="546" t="e">
        <f t="shared" si="30"/>
        <v>#VALUE!</v>
      </c>
      <c r="G208" s="547"/>
      <c r="H208" s="492"/>
    </row>
    <row r="209" spans="1:7" x14ac:dyDescent="0.25">
      <c r="A209" s="548">
        <v>200</v>
      </c>
      <c r="B209" s="549">
        <v>50406</v>
      </c>
      <c r="C209" s="544" t="e">
        <f t="shared" si="27"/>
        <v>#VALUE!</v>
      </c>
      <c r="D209" s="545" t="e">
        <f t="shared" si="28"/>
        <v>#VALUE!</v>
      </c>
      <c r="E209" s="545" t="e">
        <f t="shared" si="29"/>
        <v>#VALUE!</v>
      </c>
      <c r="F209" s="546" t="e">
        <f t="shared" si="30"/>
        <v>#VALUE!</v>
      </c>
      <c r="G209" s="547"/>
    </row>
    <row r="210" spans="1:7" x14ac:dyDescent="0.25">
      <c r="A210" s="548">
        <v>201</v>
      </c>
      <c r="B210" s="549">
        <v>50437</v>
      </c>
      <c r="C210" s="544" t="e">
        <f t="shared" si="27"/>
        <v>#VALUE!</v>
      </c>
      <c r="D210" s="545" t="e">
        <f t="shared" si="28"/>
        <v>#VALUE!</v>
      </c>
      <c r="E210" s="545" t="e">
        <f t="shared" si="29"/>
        <v>#VALUE!</v>
      </c>
      <c r="F210" s="546" t="e">
        <f t="shared" si="30"/>
        <v>#VALUE!</v>
      </c>
      <c r="G210" s="547"/>
    </row>
    <row r="211" spans="1:7" x14ac:dyDescent="0.25">
      <c r="A211" s="548">
        <v>202</v>
      </c>
      <c r="B211" s="549">
        <v>50465</v>
      </c>
      <c r="C211" s="544" t="e">
        <f t="shared" si="27"/>
        <v>#VALUE!</v>
      </c>
      <c r="D211" s="545" t="e">
        <f t="shared" si="28"/>
        <v>#VALUE!</v>
      </c>
      <c r="E211" s="545" t="e">
        <f t="shared" si="29"/>
        <v>#VALUE!</v>
      </c>
      <c r="F211" s="546" t="e">
        <f t="shared" si="30"/>
        <v>#VALUE!</v>
      </c>
      <c r="G211" s="547"/>
    </row>
    <row r="212" spans="1:7" x14ac:dyDescent="0.25">
      <c r="A212" s="548">
        <v>203</v>
      </c>
      <c r="B212" s="549">
        <v>50496</v>
      </c>
      <c r="C212" s="544" t="e">
        <f t="shared" si="27"/>
        <v>#VALUE!</v>
      </c>
      <c r="D212" s="545" t="e">
        <f t="shared" si="28"/>
        <v>#VALUE!</v>
      </c>
      <c r="E212" s="545" t="e">
        <f t="shared" si="29"/>
        <v>#VALUE!</v>
      </c>
      <c r="F212" s="546" t="e">
        <f t="shared" si="30"/>
        <v>#VALUE!</v>
      </c>
      <c r="G212" s="547"/>
    </row>
    <row r="213" spans="1:7" ht="14.4" thickBot="1" x14ac:dyDescent="0.3">
      <c r="A213" s="550">
        <v>204</v>
      </c>
      <c r="B213" s="551">
        <v>50526</v>
      </c>
      <c r="C213" s="552" t="e">
        <f t="shared" si="27"/>
        <v>#VALUE!</v>
      </c>
      <c r="D213" s="553" t="e">
        <f t="shared" si="28"/>
        <v>#VALUE!</v>
      </c>
      <c r="E213" s="553" t="e">
        <f t="shared" si="29"/>
        <v>#VALUE!</v>
      </c>
      <c r="F213" s="554" t="e">
        <f t="shared" si="30"/>
        <v>#VALUE!</v>
      </c>
      <c r="G213" s="555"/>
    </row>
    <row r="214" spans="1:7" x14ac:dyDescent="0.25">
      <c r="A214" s="548">
        <v>205</v>
      </c>
      <c r="B214" s="549">
        <v>50557</v>
      </c>
      <c r="C214" s="556" t="e">
        <f t="shared" si="27"/>
        <v>#VALUE!</v>
      </c>
      <c r="D214" s="557" t="e">
        <f t="shared" si="28"/>
        <v>#VALUE!</v>
      </c>
      <c r="E214" s="557" t="e">
        <f t="shared" si="29"/>
        <v>#VALUE!</v>
      </c>
      <c r="F214" s="558" t="e">
        <f t="shared" si="30"/>
        <v>#VALUE!</v>
      </c>
      <c r="G214" s="547"/>
    </row>
    <row r="215" spans="1:7" x14ac:dyDescent="0.25">
      <c r="A215" s="548">
        <v>206</v>
      </c>
      <c r="B215" s="549">
        <v>50587</v>
      </c>
      <c r="C215" s="544" t="e">
        <f t="shared" si="27"/>
        <v>#VALUE!</v>
      </c>
      <c r="D215" s="545" t="e">
        <f t="shared" si="28"/>
        <v>#VALUE!</v>
      </c>
      <c r="E215" s="545" t="e">
        <f t="shared" si="29"/>
        <v>#VALUE!</v>
      </c>
      <c r="F215" s="546" t="e">
        <f t="shared" si="30"/>
        <v>#VALUE!</v>
      </c>
      <c r="G215" s="547"/>
    </row>
    <row r="216" spans="1:7" x14ac:dyDescent="0.25">
      <c r="A216" s="548">
        <v>207</v>
      </c>
      <c r="B216" s="549">
        <v>50618</v>
      </c>
      <c r="C216" s="544" t="e">
        <f t="shared" si="27"/>
        <v>#VALUE!</v>
      </c>
      <c r="D216" s="545" t="e">
        <f t="shared" si="28"/>
        <v>#VALUE!</v>
      </c>
      <c r="E216" s="545" t="e">
        <f t="shared" si="29"/>
        <v>#VALUE!</v>
      </c>
      <c r="F216" s="546" t="e">
        <f t="shared" si="30"/>
        <v>#VALUE!</v>
      </c>
      <c r="G216" s="547"/>
    </row>
    <row r="217" spans="1:7" x14ac:dyDescent="0.25">
      <c r="A217" s="548">
        <v>208</v>
      </c>
      <c r="B217" s="549">
        <v>50649</v>
      </c>
      <c r="C217" s="544" t="e">
        <f t="shared" si="27"/>
        <v>#VALUE!</v>
      </c>
      <c r="D217" s="545" t="e">
        <f t="shared" si="28"/>
        <v>#VALUE!</v>
      </c>
      <c r="E217" s="545" t="e">
        <f t="shared" si="29"/>
        <v>#VALUE!</v>
      </c>
      <c r="F217" s="546" t="e">
        <f t="shared" si="30"/>
        <v>#VALUE!</v>
      </c>
      <c r="G217" s="547"/>
    </row>
    <row r="218" spans="1:7" x14ac:dyDescent="0.25">
      <c r="A218" s="548">
        <v>209</v>
      </c>
      <c r="B218" s="549">
        <v>50679</v>
      </c>
      <c r="C218" s="544" t="e">
        <f t="shared" si="27"/>
        <v>#VALUE!</v>
      </c>
      <c r="D218" s="545" t="e">
        <f t="shared" si="28"/>
        <v>#VALUE!</v>
      </c>
      <c r="E218" s="545" t="e">
        <f t="shared" si="29"/>
        <v>#VALUE!</v>
      </c>
      <c r="F218" s="546" t="e">
        <f t="shared" si="30"/>
        <v>#VALUE!</v>
      </c>
      <c r="G218" s="547"/>
    </row>
    <row r="219" spans="1:7" x14ac:dyDescent="0.25">
      <c r="A219" s="548">
        <v>210</v>
      </c>
      <c r="B219" s="549">
        <v>50710</v>
      </c>
      <c r="C219" s="544" t="e">
        <f t="shared" si="27"/>
        <v>#VALUE!</v>
      </c>
      <c r="D219" s="545" t="e">
        <f t="shared" si="28"/>
        <v>#VALUE!</v>
      </c>
      <c r="E219" s="545" t="e">
        <f t="shared" si="29"/>
        <v>#VALUE!</v>
      </c>
      <c r="F219" s="546" t="e">
        <f t="shared" si="30"/>
        <v>#VALUE!</v>
      </c>
      <c r="G219" s="547"/>
    </row>
    <row r="220" spans="1:7" x14ac:dyDescent="0.25">
      <c r="A220" s="548">
        <v>211</v>
      </c>
      <c r="B220" s="549">
        <v>50740</v>
      </c>
      <c r="C220" s="544" t="e">
        <f t="shared" si="27"/>
        <v>#VALUE!</v>
      </c>
      <c r="D220" s="545" t="e">
        <f t="shared" si="28"/>
        <v>#VALUE!</v>
      </c>
      <c r="E220" s="545" t="e">
        <f t="shared" si="29"/>
        <v>#VALUE!</v>
      </c>
      <c r="F220" s="546" t="e">
        <f t="shared" si="30"/>
        <v>#VALUE!</v>
      </c>
      <c r="G220" s="547"/>
    </row>
    <row r="221" spans="1:7" x14ac:dyDescent="0.25">
      <c r="A221" s="548">
        <v>212</v>
      </c>
      <c r="B221" s="549">
        <v>50771</v>
      </c>
      <c r="C221" s="544" t="e">
        <f t="shared" si="27"/>
        <v>#VALUE!</v>
      </c>
      <c r="D221" s="545" t="e">
        <f t="shared" si="28"/>
        <v>#VALUE!</v>
      </c>
      <c r="E221" s="545" t="e">
        <f t="shared" si="29"/>
        <v>#VALUE!</v>
      </c>
      <c r="F221" s="546" t="e">
        <f t="shared" si="30"/>
        <v>#VALUE!</v>
      </c>
      <c r="G221" s="547"/>
    </row>
    <row r="222" spans="1:7" x14ac:dyDescent="0.25">
      <c r="A222" s="548">
        <v>213</v>
      </c>
      <c r="B222" s="549">
        <v>50802</v>
      </c>
      <c r="C222" s="544" t="e">
        <f t="shared" si="27"/>
        <v>#VALUE!</v>
      </c>
      <c r="D222" s="545" t="e">
        <f t="shared" si="28"/>
        <v>#VALUE!</v>
      </c>
      <c r="E222" s="545" t="e">
        <f t="shared" si="29"/>
        <v>#VALUE!</v>
      </c>
      <c r="F222" s="546" t="e">
        <f t="shared" si="30"/>
        <v>#VALUE!</v>
      </c>
      <c r="G222" s="547"/>
    </row>
    <row r="223" spans="1:7" x14ac:dyDescent="0.25">
      <c r="A223" s="548">
        <v>214</v>
      </c>
      <c r="B223" s="549">
        <v>50830</v>
      </c>
      <c r="C223" s="544" t="e">
        <f t="shared" si="27"/>
        <v>#VALUE!</v>
      </c>
      <c r="D223" s="545" t="e">
        <f t="shared" si="28"/>
        <v>#VALUE!</v>
      </c>
      <c r="E223" s="545" t="e">
        <f t="shared" si="29"/>
        <v>#VALUE!</v>
      </c>
      <c r="F223" s="546" t="e">
        <f t="shared" si="30"/>
        <v>#VALUE!</v>
      </c>
      <c r="G223" s="547"/>
    </row>
    <row r="224" spans="1:7" x14ac:dyDescent="0.25">
      <c r="A224" s="548">
        <v>215</v>
      </c>
      <c r="B224" s="549">
        <v>50861</v>
      </c>
      <c r="C224" s="544" t="e">
        <f t="shared" si="27"/>
        <v>#VALUE!</v>
      </c>
      <c r="D224" s="545" t="e">
        <f t="shared" si="28"/>
        <v>#VALUE!</v>
      </c>
      <c r="E224" s="545" t="e">
        <f t="shared" si="29"/>
        <v>#VALUE!</v>
      </c>
      <c r="F224" s="546" t="e">
        <f t="shared" si="30"/>
        <v>#VALUE!</v>
      </c>
      <c r="G224" s="547"/>
    </row>
    <row r="225" spans="1:7" ht="14.4" thickBot="1" x14ac:dyDescent="0.3">
      <c r="A225" s="550">
        <v>216</v>
      </c>
      <c r="B225" s="551">
        <v>50891</v>
      </c>
      <c r="C225" s="552" t="e">
        <f t="shared" si="27"/>
        <v>#VALUE!</v>
      </c>
      <c r="D225" s="553" t="e">
        <f t="shared" si="28"/>
        <v>#VALUE!</v>
      </c>
      <c r="E225" s="553" t="e">
        <f t="shared" si="29"/>
        <v>#VALUE!</v>
      </c>
      <c r="F225" s="554" t="e">
        <f t="shared" si="30"/>
        <v>#VALUE!</v>
      </c>
      <c r="G225" s="547"/>
    </row>
    <row r="226" spans="1:7" x14ac:dyDescent="0.25">
      <c r="A226" s="548">
        <v>217</v>
      </c>
      <c r="B226" s="549">
        <v>50922</v>
      </c>
      <c r="C226" s="556" t="e">
        <f t="shared" si="27"/>
        <v>#VALUE!</v>
      </c>
      <c r="D226" s="557" t="e">
        <f t="shared" si="28"/>
        <v>#VALUE!</v>
      </c>
      <c r="E226" s="557" t="e">
        <f t="shared" si="29"/>
        <v>#VALUE!</v>
      </c>
      <c r="F226" s="558" t="e">
        <f t="shared" si="30"/>
        <v>#VALUE!</v>
      </c>
      <c r="G226" s="547"/>
    </row>
    <row r="227" spans="1:7" x14ac:dyDescent="0.25">
      <c r="A227" s="548">
        <v>218</v>
      </c>
      <c r="B227" s="549">
        <v>50952</v>
      </c>
      <c r="C227" s="544" t="e">
        <f t="shared" si="27"/>
        <v>#VALUE!</v>
      </c>
      <c r="D227" s="545" t="e">
        <f t="shared" si="28"/>
        <v>#VALUE!</v>
      </c>
      <c r="E227" s="545" t="e">
        <f t="shared" si="29"/>
        <v>#VALUE!</v>
      </c>
      <c r="F227" s="546" t="e">
        <f t="shared" si="30"/>
        <v>#VALUE!</v>
      </c>
      <c r="G227" s="547"/>
    </row>
    <row r="228" spans="1:7" x14ac:dyDescent="0.25">
      <c r="A228" s="548">
        <v>219</v>
      </c>
      <c r="B228" s="549">
        <v>50983</v>
      </c>
      <c r="C228" s="544" t="e">
        <f t="shared" si="27"/>
        <v>#VALUE!</v>
      </c>
      <c r="D228" s="545" t="e">
        <f t="shared" si="28"/>
        <v>#VALUE!</v>
      </c>
      <c r="E228" s="545" t="e">
        <f t="shared" si="29"/>
        <v>#VALUE!</v>
      </c>
      <c r="F228" s="546" t="e">
        <f t="shared" si="30"/>
        <v>#VALUE!</v>
      </c>
      <c r="G228" s="547"/>
    </row>
    <row r="229" spans="1:7" x14ac:dyDescent="0.25">
      <c r="A229" s="548">
        <v>220</v>
      </c>
      <c r="B229" s="549">
        <v>51014</v>
      </c>
      <c r="C229" s="544" t="e">
        <f t="shared" si="27"/>
        <v>#VALUE!</v>
      </c>
      <c r="D229" s="545" t="e">
        <f t="shared" si="28"/>
        <v>#VALUE!</v>
      </c>
      <c r="E229" s="545" t="e">
        <f t="shared" si="29"/>
        <v>#VALUE!</v>
      </c>
      <c r="F229" s="546" t="e">
        <f t="shared" si="30"/>
        <v>#VALUE!</v>
      </c>
      <c r="G229" s="547"/>
    </row>
    <row r="230" spans="1:7" x14ac:dyDescent="0.25">
      <c r="A230" s="548">
        <v>221</v>
      </c>
      <c r="B230" s="549">
        <v>51044</v>
      </c>
      <c r="C230" s="544" t="e">
        <f t="shared" si="27"/>
        <v>#VALUE!</v>
      </c>
      <c r="D230" s="545" t="e">
        <f t="shared" si="28"/>
        <v>#VALUE!</v>
      </c>
      <c r="E230" s="545" t="e">
        <f t="shared" si="29"/>
        <v>#VALUE!</v>
      </c>
      <c r="F230" s="546" t="e">
        <f t="shared" si="30"/>
        <v>#VALUE!</v>
      </c>
      <c r="G230" s="547"/>
    </row>
    <row r="231" spans="1:7" x14ac:dyDescent="0.25">
      <c r="A231" s="548">
        <v>222</v>
      </c>
      <c r="B231" s="549">
        <v>51075</v>
      </c>
      <c r="C231" s="544" t="e">
        <f t="shared" si="27"/>
        <v>#VALUE!</v>
      </c>
      <c r="D231" s="545" t="e">
        <f t="shared" si="28"/>
        <v>#VALUE!</v>
      </c>
      <c r="E231" s="545" t="e">
        <f t="shared" si="29"/>
        <v>#VALUE!</v>
      </c>
      <c r="F231" s="546" t="e">
        <f t="shared" si="30"/>
        <v>#VALUE!</v>
      </c>
      <c r="G231" s="547"/>
    </row>
    <row r="232" spans="1:7" x14ac:dyDescent="0.25">
      <c r="A232" s="548">
        <v>223</v>
      </c>
      <c r="B232" s="549">
        <v>51105</v>
      </c>
      <c r="C232" s="544" t="e">
        <f t="shared" si="27"/>
        <v>#VALUE!</v>
      </c>
      <c r="D232" s="545" t="e">
        <f t="shared" si="28"/>
        <v>#VALUE!</v>
      </c>
      <c r="E232" s="545" t="e">
        <f t="shared" si="29"/>
        <v>#VALUE!</v>
      </c>
      <c r="F232" s="546" t="e">
        <f t="shared" si="30"/>
        <v>#VALUE!</v>
      </c>
      <c r="G232" s="547"/>
    </row>
    <row r="233" spans="1:7" x14ac:dyDescent="0.25">
      <c r="A233" s="548">
        <v>224</v>
      </c>
      <c r="B233" s="549">
        <v>51136</v>
      </c>
      <c r="C233" s="544" t="e">
        <f t="shared" si="27"/>
        <v>#VALUE!</v>
      </c>
      <c r="D233" s="545" t="e">
        <f t="shared" si="28"/>
        <v>#VALUE!</v>
      </c>
      <c r="E233" s="545" t="e">
        <f t="shared" si="29"/>
        <v>#VALUE!</v>
      </c>
      <c r="F233" s="546" t="e">
        <f t="shared" si="30"/>
        <v>#VALUE!</v>
      </c>
      <c r="G233" s="547"/>
    </row>
    <row r="234" spans="1:7" x14ac:dyDescent="0.25">
      <c r="A234" s="548">
        <v>225</v>
      </c>
      <c r="B234" s="549">
        <v>51167</v>
      </c>
      <c r="C234" s="544" t="e">
        <f t="shared" si="27"/>
        <v>#VALUE!</v>
      </c>
      <c r="D234" s="545" t="e">
        <f t="shared" si="28"/>
        <v>#VALUE!</v>
      </c>
      <c r="E234" s="545" t="e">
        <f t="shared" si="29"/>
        <v>#VALUE!</v>
      </c>
      <c r="F234" s="546" t="e">
        <f t="shared" si="30"/>
        <v>#VALUE!</v>
      </c>
      <c r="G234" s="547"/>
    </row>
    <row r="235" spans="1:7" x14ac:dyDescent="0.25">
      <c r="A235" s="548">
        <v>226</v>
      </c>
      <c r="B235" s="549">
        <v>51196</v>
      </c>
      <c r="C235" s="544" t="e">
        <f t="shared" si="27"/>
        <v>#VALUE!</v>
      </c>
      <c r="D235" s="545" t="e">
        <f t="shared" si="28"/>
        <v>#VALUE!</v>
      </c>
      <c r="E235" s="545" t="e">
        <f t="shared" si="29"/>
        <v>#VALUE!</v>
      </c>
      <c r="F235" s="546" t="e">
        <f t="shared" si="30"/>
        <v>#VALUE!</v>
      </c>
      <c r="G235" s="547"/>
    </row>
    <row r="236" spans="1:7" x14ac:dyDescent="0.25">
      <c r="A236" s="548">
        <v>227</v>
      </c>
      <c r="B236" s="549">
        <v>51227</v>
      </c>
      <c r="C236" s="544" t="e">
        <f t="shared" si="27"/>
        <v>#VALUE!</v>
      </c>
      <c r="D236" s="545" t="e">
        <f t="shared" si="28"/>
        <v>#VALUE!</v>
      </c>
      <c r="E236" s="545" t="e">
        <f t="shared" si="29"/>
        <v>#VALUE!</v>
      </c>
      <c r="F236" s="546" t="e">
        <f t="shared" si="30"/>
        <v>#VALUE!</v>
      </c>
      <c r="G236" s="547"/>
    </row>
    <row r="237" spans="1:7" ht="14.4" thickBot="1" x14ac:dyDescent="0.3">
      <c r="A237" s="548">
        <v>228</v>
      </c>
      <c r="B237" s="549">
        <v>51257</v>
      </c>
      <c r="C237" s="559" t="e">
        <f t="shared" si="27"/>
        <v>#VALUE!</v>
      </c>
      <c r="D237" s="560" t="e">
        <f t="shared" si="28"/>
        <v>#VALUE!</v>
      </c>
      <c r="E237" s="560" t="e">
        <f t="shared" si="29"/>
        <v>#VALUE!</v>
      </c>
      <c r="F237" s="561" t="e">
        <f t="shared" si="30"/>
        <v>#VALUE!</v>
      </c>
      <c r="G237" s="547"/>
    </row>
    <row r="238" spans="1:7" x14ac:dyDescent="0.25">
      <c r="A238" s="562">
        <v>229</v>
      </c>
      <c r="B238" s="563">
        <v>51288</v>
      </c>
      <c r="C238" s="564" t="e">
        <f t="shared" si="27"/>
        <v>#VALUE!</v>
      </c>
      <c r="D238" s="565" t="e">
        <f t="shared" si="28"/>
        <v>#VALUE!</v>
      </c>
      <c r="E238" s="565" t="e">
        <f t="shared" si="29"/>
        <v>#VALUE!</v>
      </c>
      <c r="F238" s="566" t="e">
        <f t="shared" si="30"/>
        <v>#VALUE!</v>
      </c>
      <c r="G238" s="547"/>
    </row>
    <row r="239" spans="1:7" x14ac:dyDescent="0.25">
      <c r="A239" s="548">
        <v>230</v>
      </c>
      <c r="B239" s="549">
        <v>51318</v>
      </c>
      <c r="C239" s="544" t="e">
        <f t="shared" si="27"/>
        <v>#VALUE!</v>
      </c>
      <c r="D239" s="545" t="e">
        <f t="shared" si="28"/>
        <v>#VALUE!</v>
      </c>
      <c r="E239" s="545" t="e">
        <f t="shared" si="29"/>
        <v>#VALUE!</v>
      </c>
      <c r="F239" s="546" t="e">
        <f t="shared" si="30"/>
        <v>#VALUE!</v>
      </c>
      <c r="G239" s="547"/>
    </row>
    <row r="240" spans="1:7" x14ac:dyDescent="0.25">
      <c r="A240" s="548">
        <v>231</v>
      </c>
      <c r="B240" s="549">
        <v>51349</v>
      </c>
      <c r="C240" s="544" t="e">
        <f t="shared" si="27"/>
        <v>#VALUE!</v>
      </c>
      <c r="D240" s="545" t="e">
        <f t="shared" si="28"/>
        <v>#VALUE!</v>
      </c>
      <c r="E240" s="545" t="e">
        <f t="shared" si="29"/>
        <v>#VALUE!</v>
      </c>
      <c r="F240" s="546" t="e">
        <f t="shared" si="30"/>
        <v>#VALUE!</v>
      </c>
      <c r="G240" s="547"/>
    </row>
    <row r="241" spans="1:7" x14ac:dyDescent="0.25">
      <c r="A241" s="548">
        <v>232</v>
      </c>
      <c r="B241" s="549">
        <v>51380</v>
      </c>
      <c r="C241" s="544" t="e">
        <f t="shared" si="27"/>
        <v>#VALUE!</v>
      </c>
      <c r="D241" s="545" t="e">
        <f t="shared" si="28"/>
        <v>#VALUE!</v>
      </c>
      <c r="E241" s="545" t="e">
        <f t="shared" si="29"/>
        <v>#VALUE!</v>
      </c>
      <c r="F241" s="546" t="e">
        <f t="shared" si="30"/>
        <v>#VALUE!</v>
      </c>
      <c r="G241" s="547"/>
    </row>
    <row r="242" spans="1:7" x14ac:dyDescent="0.25">
      <c r="A242" s="548">
        <v>233</v>
      </c>
      <c r="B242" s="549">
        <v>51410</v>
      </c>
      <c r="C242" s="544" t="e">
        <f t="shared" si="27"/>
        <v>#VALUE!</v>
      </c>
      <c r="D242" s="545" t="e">
        <f t="shared" si="28"/>
        <v>#VALUE!</v>
      </c>
      <c r="E242" s="545" t="e">
        <f t="shared" si="29"/>
        <v>#VALUE!</v>
      </c>
      <c r="F242" s="546" t="e">
        <f t="shared" si="30"/>
        <v>#VALUE!</v>
      </c>
      <c r="G242" s="547"/>
    </row>
    <row r="243" spans="1:7" x14ac:dyDescent="0.25">
      <c r="A243" s="548">
        <v>234</v>
      </c>
      <c r="B243" s="549">
        <v>51441</v>
      </c>
      <c r="C243" s="544" t="e">
        <f t="shared" si="27"/>
        <v>#VALUE!</v>
      </c>
      <c r="D243" s="545" t="e">
        <f t="shared" si="28"/>
        <v>#VALUE!</v>
      </c>
      <c r="E243" s="545" t="e">
        <f t="shared" si="29"/>
        <v>#VALUE!</v>
      </c>
      <c r="F243" s="546" t="e">
        <f t="shared" si="30"/>
        <v>#VALUE!</v>
      </c>
      <c r="G243" s="547"/>
    </row>
    <row r="244" spans="1:7" x14ac:dyDescent="0.25">
      <c r="A244" s="548">
        <v>235</v>
      </c>
      <c r="B244" s="549">
        <v>51471</v>
      </c>
      <c r="C244" s="544" t="e">
        <f t="shared" si="27"/>
        <v>#VALUE!</v>
      </c>
      <c r="D244" s="545" t="e">
        <f t="shared" si="28"/>
        <v>#VALUE!</v>
      </c>
      <c r="E244" s="545" t="e">
        <f t="shared" si="29"/>
        <v>#VALUE!</v>
      </c>
      <c r="F244" s="546" t="e">
        <f t="shared" si="30"/>
        <v>#VALUE!</v>
      </c>
      <c r="G244" s="547"/>
    </row>
    <row r="245" spans="1:7" x14ac:dyDescent="0.25">
      <c r="A245" s="548">
        <v>236</v>
      </c>
      <c r="B245" s="549">
        <v>51502</v>
      </c>
      <c r="C245" s="544" t="e">
        <f t="shared" si="27"/>
        <v>#VALUE!</v>
      </c>
      <c r="D245" s="545" t="e">
        <f t="shared" si="28"/>
        <v>#VALUE!</v>
      </c>
      <c r="E245" s="545" t="e">
        <f t="shared" si="29"/>
        <v>#VALUE!</v>
      </c>
      <c r="F245" s="546" t="e">
        <f t="shared" si="30"/>
        <v>#VALUE!</v>
      </c>
      <c r="G245" s="547"/>
    </row>
    <row r="246" spans="1:7" x14ac:dyDescent="0.25">
      <c r="A246" s="548">
        <v>237</v>
      </c>
      <c r="B246" s="549">
        <v>51533</v>
      </c>
      <c r="C246" s="544" t="e">
        <f t="shared" si="27"/>
        <v>#VALUE!</v>
      </c>
      <c r="D246" s="545" t="e">
        <f t="shared" si="28"/>
        <v>#VALUE!</v>
      </c>
      <c r="E246" s="545" t="e">
        <f t="shared" si="29"/>
        <v>#VALUE!</v>
      </c>
      <c r="F246" s="546" t="e">
        <f t="shared" si="30"/>
        <v>#VALUE!</v>
      </c>
      <c r="G246" s="547"/>
    </row>
    <row r="247" spans="1:7" x14ac:dyDescent="0.25">
      <c r="A247" s="548">
        <v>238</v>
      </c>
      <c r="B247" s="549">
        <v>51561</v>
      </c>
      <c r="C247" s="544" t="e">
        <f t="shared" si="27"/>
        <v>#VALUE!</v>
      </c>
      <c r="D247" s="545" t="e">
        <f t="shared" si="28"/>
        <v>#VALUE!</v>
      </c>
      <c r="E247" s="545" t="e">
        <f t="shared" si="29"/>
        <v>#VALUE!</v>
      </c>
      <c r="F247" s="546" t="e">
        <f t="shared" si="30"/>
        <v>#VALUE!</v>
      </c>
      <c r="G247" s="547"/>
    </row>
    <row r="248" spans="1:7" x14ac:dyDescent="0.25">
      <c r="A248" s="548">
        <v>239</v>
      </c>
      <c r="B248" s="549">
        <v>51592</v>
      </c>
      <c r="C248" s="544" t="e">
        <f t="shared" si="27"/>
        <v>#VALUE!</v>
      </c>
      <c r="D248" s="545" t="e">
        <f t="shared" si="28"/>
        <v>#VALUE!</v>
      </c>
      <c r="E248" s="545" t="e">
        <f t="shared" si="29"/>
        <v>#VALUE!</v>
      </c>
      <c r="F248" s="546" t="e">
        <f t="shared" si="30"/>
        <v>#VALUE!</v>
      </c>
      <c r="G248" s="547"/>
    </row>
    <row r="249" spans="1:7" ht="14.4" thickBot="1" x14ac:dyDescent="0.3">
      <c r="A249" s="550">
        <v>240</v>
      </c>
      <c r="B249" s="551">
        <v>51622</v>
      </c>
      <c r="C249" s="552" t="e">
        <f t="shared" si="27"/>
        <v>#VALUE!</v>
      </c>
      <c r="D249" s="553" t="e">
        <f t="shared" si="28"/>
        <v>#VALUE!</v>
      </c>
      <c r="E249" s="553" t="e">
        <f t="shared" si="29"/>
        <v>#VALUE!</v>
      </c>
      <c r="F249" s="554" t="e">
        <f t="shared" si="30"/>
        <v>#VALUE!</v>
      </c>
      <c r="G249" s="547"/>
    </row>
    <row r="250" spans="1:7" x14ac:dyDescent="0.25">
      <c r="A250" s="562">
        <v>241</v>
      </c>
      <c r="B250" s="563">
        <v>51653</v>
      </c>
      <c r="C250" s="564" t="e">
        <f t="shared" si="27"/>
        <v>#VALUE!</v>
      </c>
      <c r="D250" s="565" t="e">
        <f t="shared" si="28"/>
        <v>#VALUE!</v>
      </c>
      <c r="E250" s="565" t="e">
        <f t="shared" si="29"/>
        <v>#VALUE!</v>
      </c>
      <c r="F250" s="566" t="e">
        <f t="shared" si="30"/>
        <v>#VALUE!</v>
      </c>
      <c r="G250" s="547"/>
    </row>
    <row r="251" spans="1:7" x14ac:dyDescent="0.25">
      <c r="A251" s="548">
        <v>242</v>
      </c>
      <c r="B251" s="549">
        <v>51683</v>
      </c>
      <c r="C251" s="544" t="e">
        <f t="shared" si="27"/>
        <v>#VALUE!</v>
      </c>
      <c r="D251" s="545" t="e">
        <f t="shared" si="28"/>
        <v>#VALUE!</v>
      </c>
      <c r="E251" s="545" t="e">
        <f t="shared" si="29"/>
        <v>#VALUE!</v>
      </c>
      <c r="F251" s="546" t="e">
        <f t="shared" si="30"/>
        <v>#VALUE!</v>
      </c>
      <c r="G251" s="547"/>
    </row>
    <row r="252" spans="1:7" x14ac:dyDescent="0.25">
      <c r="A252" s="548">
        <v>243</v>
      </c>
      <c r="B252" s="549">
        <v>51714</v>
      </c>
      <c r="C252" s="544" t="e">
        <f t="shared" si="27"/>
        <v>#VALUE!</v>
      </c>
      <c r="D252" s="545" t="e">
        <f t="shared" si="28"/>
        <v>#VALUE!</v>
      </c>
      <c r="E252" s="545" t="e">
        <f t="shared" si="29"/>
        <v>#VALUE!</v>
      </c>
      <c r="F252" s="546" t="e">
        <f t="shared" si="30"/>
        <v>#VALUE!</v>
      </c>
      <c r="G252" s="547"/>
    </row>
    <row r="253" spans="1:7" x14ac:dyDescent="0.25">
      <c r="A253" s="548">
        <v>244</v>
      </c>
      <c r="B253" s="549">
        <v>51745</v>
      </c>
      <c r="C253" s="544" t="e">
        <f t="shared" si="27"/>
        <v>#VALUE!</v>
      </c>
      <c r="D253" s="545" t="e">
        <f t="shared" si="28"/>
        <v>#VALUE!</v>
      </c>
      <c r="E253" s="545" t="e">
        <f t="shared" si="29"/>
        <v>#VALUE!</v>
      </c>
      <c r="F253" s="546" t="e">
        <f t="shared" si="30"/>
        <v>#VALUE!</v>
      </c>
      <c r="G253" s="547"/>
    </row>
    <row r="254" spans="1:7" x14ac:dyDescent="0.25">
      <c r="A254" s="548">
        <v>245</v>
      </c>
      <c r="B254" s="549">
        <v>51775</v>
      </c>
      <c r="C254" s="544" t="e">
        <f t="shared" si="27"/>
        <v>#VALUE!</v>
      </c>
      <c r="D254" s="545" t="e">
        <f t="shared" si="28"/>
        <v>#VALUE!</v>
      </c>
      <c r="E254" s="545" t="e">
        <f t="shared" si="29"/>
        <v>#VALUE!</v>
      </c>
      <c r="F254" s="546" t="e">
        <f t="shared" si="30"/>
        <v>#VALUE!</v>
      </c>
      <c r="G254" s="547"/>
    </row>
    <row r="255" spans="1:7" x14ac:dyDescent="0.25">
      <c r="A255" s="548">
        <v>246</v>
      </c>
      <c r="B255" s="549">
        <v>51806</v>
      </c>
      <c r="C255" s="544" t="e">
        <f t="shared" si="27"/>
        <v>#VALUE!</v>
      </c>
      <c r="D255" s="545" t="e">
        <f t="shared" si="28"/>
        <v>#VALUE!</v>
      </c>
      <c r="E255" s="545" t="e">
        <f t="shared" si="29"/>
        <v>#VALUE!</v>
      </c>
      <c r="F255" s="546" t="e">
        <f t="shared" si="30"/>
        <v>#VALUE!</v>
      </c>
      <c r="G255" s="547"/>
    </row>
    <row r="256" spans="1:7" x14ac:dyDescent="0.25">
      <c r="A256" s="548">
        <v>247</v>
      </c>
      <c r="B256" s="549">
        <v>51836</v>
      </c>
      <c r="C256" s="544" t="e">
        <f t="shared" si="27"/>
        <v>#VALUE!</v>
      </c>
      <c r="D256" s="545" t="e">
        <f t="shared" si="28"/>
        <v>#VALUE!</v>
      </c>
      <c r="E256" s="545" t="e">
        <f t="shared" si="29"/>
        <v>#VALUE!</v>
      </c>
      <c r="F256" s="546" t="e">
        <f t="shared" si="30"/>
        <v>#VALUE!</v>
      </c>
      <c r="G256" s="547"/>
    </row>
    <row r="257" spans="1:7" x14ac:dyDescent="0.25">
      <c r="A257" s="548">
        <v>248</v>
      </c>
      <c r="B257" s="549">
        <v>51867</v>
      </c>
      <c r="C257" s="544" t="e">
        <f t="shared" si="27"/>
        <v>#VALUE!</v>
      </c>
      <c r="D257" s="545" t="e">
        <f t="shared" si="28"/>
        <v>#VALUE!</v>
      </c>
      <c r="E257" s="545" t="e">
        <f t="shared" si="29"/>
        <v>#VALUE!</v>
      </c>
      <c r="F257" s="546" t="e">
        <f t="shared" si="30"/>
        <v>#VALUE!</v>
      </c>
      <c r="G257" s="547"/>
    </row>
    <row r="258" spans="1:7" x14ac:dyDescent="0.25">
      <c r="A258" s="548">
        <v>249</v>
      </c>
      <c r="B258" s="549">
        <v>51898</v>
      </c>
      <c r="C258" s="544" t="e">
        <f t="shared" si="27"/>
        <v>#VALUE!</v>
      </c>
      <c r="D258" s="545" t="e">
        <f t="shared" si="28"/>
        <v>#VALUE!</v>
      </c>
      <c r="E258" s="545" t="e">
        <f t="shared" si="29"/>
        <v>#VALUE!</v>
      </c>
      <c r="F258" s="546" t="e">
        <f t="shared" si="30"/>
        <v>#VALUE!</v>
      </c>
      <c r="G258" s="547"/>
    </row>
    <row r="259" spans="1:7" x14ac:dyDescent="0.25">
      <c r="A259" s="548">
        <v>250</v>
      </c>
      <c r="B259" s="549">
        <v>51926</v>
      </c>
      <c r="C259" s="544" t="e">
        <f t="shared" si="27"/>
        <v>#VALUE!</v>
      </c>
      <c r="D259" s="545" t="e">
        <f t="shared" si="28"/>
        <v>#VALUE!</v>
      </c>
      <c r="E259" s="545" t="e">
        <f t="shared" si="29"/>
        <v>#VALUE!</v>
      </c>
      <c r="F259" s="546" t="e">
        <f t="shared" si="30"/>
        <v>#VALUE!</v>
      </c>
      <c r="G259" s="547"/>
    </row>
    <row r="260" spans="1:7" x14ac:dyDescent="0.25">
      <c r="A260" s="548">
        <v>251</v>
      </c>
      <c r="B260" s="549">
        <v>51957</v>
      </c>
      <c r="C260" s="544" t="e">
        <f t="shared" si="27"/>
        <v>#VALUE!</v>
      </c>
      <c r="D260" s="545" t="e">
        <f t="shared" si="28"/>
        <v>#VALUE!</v>
      </c>
      <c r="E260" s="545" t="e">
        <f t="shared" si="29"/>
        <v>#VALUE!</v>
      </c>
      <c r="F260" s="546" t="e">
        <f t="shared" si="30"/>
        <v>#VALUE!</v>
      </c>
      <c r="G260" s="547"/>
    </row>
    <row r="261" spans="1:7" ht="14.4" thickBot="1" x14ac:dyDescent="0.3">
      <c r="A261" s="550">
        <v>252</v>
      </c>
      <c r="B261" s="551">
        <v>51987</v>
      </c>
      <c r="C261" s="552" t="e">
        <f t="shared" si="27"/>
        <v>#VALUE!</v>
      </c>
      <c r="D261" s="553" t="e">
        <f t="shared" si="28"/>
        <v>#VALUE!</v>
      </c>
      <c r="E261" s="553" t="e">
        <f t="shared" si="29"/>
        <v>#VALUE!</v>
      </c>
      <c r="F261" s="554" t="e">
        <f t="shared" si="30"/>
        <v>#VALUE!</v>
      </c>
      <c r="G261" s="547"/>
    </row>
    <row r="262" spans="1:7" x14ac:dyDescent="0.25">
      <c r="A262" s="562">
        <v>253</v>
      </c>
      <c r="B262" s="563">
        <v>52018</v>
      </c>
      <c r="C262" s="564" t="e">
        <f t="shared" si="27"/>
        <v>#VALUE!</v>
      </c>
      <c r="D262" s="565" t="e">
        <f t="shared" si="28"/>
        <v>#VALUE!</v>
      </c>
      <c r="E262" s="565" t="e">
        <f t="shared" si="29"/>
        <v>#VALUE!</v>
      </c>
      <c r="F262" s="566" t="e">
        <f t="shared" si="30"/>
        <v>#VALUE!</v>
      </c>
      <c r="G262" s="547"/>
    </row>
    <row r="263" spans="1:7" x14ac:dyDescent="0.25">
      <c r="A263" s="548">
        <v>254</v>
      </c>
      <c r="B263" s="549">
        <v>52048</v>
      </c>
      <c r="C263" s="544" t="e">
        <f t="shared" si="27"/>
        <v>#VALUE!</v>
      </c>
      <c r="D263" s="545" t="e">
        <f t="shared" si="28"/>
        <v>#VALUE!</v>
      </c>
      <c r="E263" s="545" t="e">
        <f t="shared" si="29"/>
        <v>#VALUE!</v>
      </c>
      <c r="F263" s="546" t="e">
        <f t="shared" si="30"/>
        <v>#VALUE!</v>
      </c>
      <c r="G263" s="547"/>
    </row>
    <row r="264" spans="1:7" x14ac:dyDescent="0.25">
      <c r="A264" s="548">
        <v>255</v>
      </c>
      <c r="B264" s="549">
        <v>52079</v>
      </c>
      <c r="C264" s="544" t="e">
        <f t="shared" si="27"/>
        <v>#VALUE!</v>
      </c>
      <c r="D264" s="545" t="e">
        <f t="shared" si="28"/>
        <v>#VALUE!</v>
      </c>
      <c r="E264" s="545" t="e">
        <f t="shared" si="29"/>
        <v>#VALUE!</v>
      </c>
      <c r="F264" s="546" t="e">
        <f t="shared" si="30"/>
        <v>#VALUE!</v>
      </c>
      <c r="G264" s="547"/>
    </row>
    <row r="265" spans="1:7" x14ac:dyDescent="0.25">
      <c r="A265" s="548">
        <v>256</v>
      </c>
      <c r="B265" s="549">
        <v>52110</v>
      </c>
      <c r="C265" s="544" t="e">
        <f t="shared" si="27"/>
        <v>#VALUE!</v>
      </c>
      <c r="D265" s="545" t="e">
        <f t="shared" si="28"/>
        <v>#VALUE!</v>
      </c>
      <c r="E265" s="545" t="e">
        <f t="shared" si="29"/>
        <v>#VALUE!</v>
      </c>
      <c r="F265" s="546" t="e">
        <f t="shared" si="30"/>
        <v>#VALUE!</v>
      </c>
      <c r="G265" s="547"/>
    </row>
    <row r="266" spans="1:7" x14ac:dyDescent="0.25">
      <c r="A266" s="548">
        <v>257</v>
      </c>
      <c r="B266" s="549">
        <v>52140</v>
      </c>
      <c r="C266" s="544" t="e">
        <f t="shared" si="27"/>
        <v>#VALUE!</v>
      </c>
      <c r="D266" s="545" t="e">
        <f t="shared" si="28"/>
        <v>#VALUE!</v>
      </c>
      <c r="E266" s="545" t="e">
        <f t="shared" si="29"/>
        <v>#VALUE!</v>
      </c>
      <c r="F266" s="546" t="e">
        <f t="shared" si="30"/>
        <v>#VALUE!</v>
      </c>
      <c r="G266" s="547"/>
    </row>
    <row r="267" spans="1:7" x14ac:dyDescent="0.25">
      <c r="A267" s="548">
        <v>258</v>
      </c>
      <c r="B267" s="549">
        <v>52171</v>
      </c>
      <c r="C267" s="544" t="e">
        <f t="shared" ref="C267:C330" si="31">C266-D267</f>
        <v>#VALUE!</v>
      </c>
      <c r="D267" s="545" t="e">
        <f t="shared" ref="D267:D330" si="32">-PPMT($C$4/12,A267,$F$4*$F$6,$C$3)</f>
        <v>#VALUE!</v>
      </c>
      <c r="E267" s="545" t="e">
        <f t="shared" ref="E267:E330" si="33">F267-D267</f>
        <v>#VALUE!</v>
      </c>
      <c r="F267" s="546" t="e">
        <f t="shared" ref="F267:F330" si="34">$F$3</f>
        <v>#VALUE!</v>
      </c>
      <c r="G267" s="547"/>
    </row>
    <row r="268" spans="1:7" x14ac:dyDescent="0.25">
      <c r="A268" s="548">
        <v>259</v>
      </c>
      <c r="B268" s="549">
        <v>52201</v>
      </c>
      <c r="C268" s="544" t="e">
        <f t="shared" si="31"/>
        <v>#VALUE!</v>
      </c>
      <c r="D268" s="545" t="e">
        <f t="shared" si="32"/>
        <v>#VALUE!</v>
      </c>
      <c r="E268" s="545" t="e">
        <f t="shared" si="33"/>
        <v>#VALUE!</v>
      </c>
      <c r="F268" s="546" t="e">
        <f t="shared" si="34"/>
        <v>#VALUE!</v>
      </c>
      <c r="G268" s="547"/>
    </row>
    <row r="269" spans="1:7" x14ac:dyDescent="0.25">
      <c r="A269" s="548">
        <v>260</v>
      </c>
      <c r="B269" s="549">
        <v>52232</v>
      </c>
      <c r="C269" s="544" t="e">
        <f t="shared" si="31"/>
        <v>#VALUE!</v>
      </c>
      <c r="D269" s="545" t="e">
        <f t="shared" si="32"/>
        <v>#VALUE!</v>
      </c>
      <c r="E269" s="545" t="e">
        <f t="shared" si="33"/>
        <v>#VALUE!</v>
      </c>
      <c r="F269" s="546" t="e">
        <f t="shared" si="34"/>
        <v>#VALUE!</v>
      </c>
      <c r="G269" s="547"/>
    </row>
    <row r="270" spans="1:7" x14ac:dyDescent="0.25">
      <c r="A270" s="548">
        <v>261</v>
      </c>
      <c r="B270" s="549">
        <v>52263</v>
      </c>
      <c r="C270" s="544" t="e">
        <f t="shared" si="31"/>
        <v>#VALUE!</v>
      </c>
      <c r="D270" s="545" t="e">
        <f t="shared" si="32"/>
        <v>#VALUE!</v>
      </c>
      <c r="E270" s="545" t="e">
        <f t="shared" si="33"/>
        <v>#VALUE!</v>
      </c>
      <c r="F270" s="546" t="e">
        <f t="shared" si="34"/>
        <v>#VALUE!</v>
      </c>
      <c r="G270" s="547"/>
    </row>
    <row r="271" spans="1:7" x14ac:dyDescent="0.25">
      <c r="A271" s="548">
        <v>262</v>
      </c>
      <c r="B271" s="549">
        <v>52291</v>
      </c>
      <c r="C271" s="544" t="e">
        <f t="shared" si="31"/>
        <v>#VALUE!</v>
      </c>
      <c r="D271" s="545" t="e">
        <f t="shared" si="32"/>
        <v>#VALUE!</v>
      </c>
      <c r="E271" s="545" t="e">
        <f t="shared" si="33"/>
        <v>#VALUE!</v>
      </c>
      <c r="F271" s="546" t="e">
        <f t="shared" si="34"/>
        <v>#VALUE!</v>
      </c>
      <c r="G271" s="547"/>
    </row>
    <row r="272" spans="1:7" x14ac:dyDescent="0.25">
      <c r="A272" s="548">
        <v>263</v>
      </c>
      <c r="B272" s="549">
        <v>52322</v>
      </c>
      <c r="C272" s="544" t="e">
        <f t="shared" si="31"/>
        <v>#VALUE!</v>
      </c>
      <c r="D272" s="545" t="e">
        <f t="shared" si="32"/>
        <v>#VALUE!</v>
      </c>
      <c r="E272" s="545" t="e">
        <f t="shared" si="33"/>
        <v>#VALUE!</v>
      </c>
      <c r="F272" s="546" t="e">
        <f t="shared" si="34"/>
        <v>#VALUE!</v>
      </c>
      <c r="G272" s="547"/>
    </row>
    <row r="273" spans="1:7" ht="14.4" thickBot="1" x14ac:dyDescent="0.3">
      <c r="A273" s="550">
        <v>264</v>
      </c>
      <c r="B273" s="551">
        <v>52352</v>
      </c>
      <c r="C273" s="552" t="e">
        <f t="shared" si="31"/>
        <v>#VALUE!</v>
      </c>
      <c r="D273" s="553" t="e">
        <f t="shared" si="32"/>
        <v>#VALUE!</v>
      </c>
      <c r="E273" s="553" t="e">
        <f t="shared" si="33"/>
        <v>#VALUE!</v>
      </c>
      <c r="F273" s="554" t="e">
        <f t="shared" si="34"/>
        <v>#VALUE!</v>
      </c>
      <c r="G273" s="547"/>
    </row>
    <row r="274" spans="1:7" x14ac:dyDescent="0.25">
      <c r="A274" s="562">
        <v>265</v>
      </c>
      <c r="B274" s="563">
        <v>52383</v>
      </c>
      <c r="C274" s="564" t="e">
        <f t="shared" si="31"/>
        <v>#VALUE!</v>
      </c>
      <c r="D274" s="565" t="e">
        <f t="shared" si="32"/>
        <v>#VALUE!</v>
      </c>
      <c r="E274" s="565" t="e">
        <f t="shared" si="33"/>
        <v>#VALUE!</v>
      </c>
      <c r="F274" s="566" t="e">
        <f t="shared" si="34"/>
        <v>#VALUE!</v>
      </c>
      <c r="G274" s="547"/>
    </row>
    <row r="275" spans="1:7" x14ac:dyDescent="0.25">
      <c r="A275" s="548">
        <v>266</v>
      </c>
      <c r="B275" s="549">
        <v>52413</v>
      </c>
      <c r="C275" s="544" t="e">
        <f t="shared" si="31"/>
        <v>#VALUE!</v>
      </c>
      <c r="D275" s="545" t="e">
        <f t="shared" si="32"/>
        <v>#VALUE!</v>
      </c>
      <c r="E275" s="545" t="e">
        <f t="shared" si="33"/>
        <v>#VALUE!</v>
      </c>
      <c r="F275" s="546" t="e">
        <f t="shared" si="34"/>
        <v>#VALUE!</v>
      </c>
      <c r="G275" s="547"/>
    </row>
    <row r="276" spans="1:7" x14ac:dyDescent="0.25">
      <c r="A276" s="548">
        <v>267</v>
      </c>
      <c r="B276" s="549">
        <v>52444</v>
      </c>
      <c r="C276" s="544" t="e">
        <f t="shared" si="31"/>
        <v>#VALUE!</v>
      </c>
      <c r="D276" s="545" t="e">
        <f t="shared" si="32"/>
        <v>#VALUE!</v>
      </c>
      <c r="E276" s="545" t="e">
        <f t="shared" si="33"/>
        <v>#VALUE!</v>
      </c>
      <c r="F276" s="546" t="e">
        <f t="shared" si="34"/>
        <v>#VALUE!</v>
      </c>
      <c r="G276" s="547"/>
    </row>
    <row r="277" spans="1:7" x14ac:dyDescent="0.25">
      <c r="A277" s="548">
        <v>268</v>
      </c>
      <c r="B277" s="549">
        <v>52475</v>
      </c>
      <c r="C277" s="544" t="e">
        <f t="shared" si="31"/>
        <v>#VALUE!</v>
      </c>
      <c r="D277" s="545" t="e">
        <f t="shared" si="32"/>
        <v>#VALUE!</v>
      </c>
      <c r="E277" s="545" t="e">
        <f t="shared" si="33"/>
        <v>#VALUE!</v>
      </c>
      <c r="F277" s="546" t="e">
        <f t="shared" si="34"/>
        <v>#VALUE!</v>
      </c>
      <c r="G277" s="547"/>
    </row>
    <row r="278" spans="1:7" x14ac:dyDescent="0.25">
      <c r="A278" s="548">
        <v>269</v>
      </c>
      <c r="B278" s="549">
        <v>52505</v>
      </c>
      <c r="C278" s="544" t="e">
        <f t="shared" si="31"/>
        <v>#VALUE!</v>
      </c>
      <c r="D278" s="545" t="e">
        <f t="shared" si="32"/>
        <v>#VALUE!</v>
      </c>
      <c r="E278" s="545" t="e">
        <f t="shared" si="33"/>
        <v>#VALUE!</v>
      </c>
      <c r="F278" s="546" t="e">
        <f t="shared" si="34"/>
        <v>#VALUE!</v>
      </c>
      <c r="G278" s="547"/>
    </row>
    <row r="279" spans="1:7" x14ac:dyDescent="0.25">
      <c r="A279" s="548">
        <v>270</v>
      </c>
      <c r="B279" s="549">
        <v>52536</v>
      </c>
      <c r="C279" s="544" t="e">
        <f t="shared" si="31"/>
        <v>#VALUE!</v>
      </c>
      <c r="D279" s="545" t="e">
        <f t="shared" si="32"/>
        <v>#VALUE!</v>
      </c>
      <c r="E279" s="545" t="e">
        <f t="shared" si="33"/>
        <v>#VALUE!</v>
      </c>
      <c r="F279" s="546" t="e">
        <f t="shared" si="34"/>
        <v>#VALUE!</v>
      </c>
      <c r="G279" s="547"/>
    </row>
    <row r="280" spans="1:7" x14ac:dyDescent="0.25">
      <c r="A280" s="548">
        <v>271</v>
      </c>
      <c r="B280" s="549">
        <v>52566</v>
      </c>
      <c r="C280" s="544" t="e">
        <f t="shared" si="31"/>
        <v>#VALUE!</v>
      </c>
      <c r="D280" s="545" t="e">
        <f t="shared" si="32"/>
        <v>#VALUE!</v>
      </c>
      <c r="E280" s="545" t="e">
        <f t="shared" si="33"/>
        <v>#VALUE!</v>
      </c>
      <c r="F280" s="546" t="e">
        <f t="shared" si="34"/>
        <v>#VALUE!</v>
      </c>
      <c r="G280" s="547"/>
    </row>
    <row r="281" spans="1:7" x14ac:dyDescent="0.25">
      <c r="A281" s="548">
        <v>272</v>
      </c>
      <c r="B281" s="549">
        <v>52597</v>
      </c>
      <c r="C281" s="544" t="e">
        <f t="shared" si="31"/>
        <v>#VALUE!</v>
      </c>
      <c r="D281" s="545" t="e">
        <f t="shared" si="32"/>
        <v>#VALUE!</v>
      </c>
      <c r="E281" s="545" t="e">
        <f t="shared" si="33"/>
        <v>#VALUE!</v>
      </c>
      <c r="F281" s="546" t="e">
        <f t="shared" si="34"/>
        <v>#VALUE!</v>
      </c>
      <c r="G281" s="547"/>
    </row>
    <row r="282" spans="1:7" x14ac:dyDescent="0.25">
      <c r="A282" s="548">
        <v>273</v>
      </c>
      <c r="B282" s="549">
        <v>52628</v>
      </c>
      <c r="C282" s="544" t="e">
        <f t="shared" si="31"/>
        <v>#VALUE!</v>
      </c>
      <c r="D282" s="545" t="e">
        <f t="shared" si="32"/>
        <v>#VALUE!</v>
      </c>
      <c r="E282" s="545" t="e">
        <f t="shared" si="33"/>
        <v>#VALUE!</v>
      </c>
      <c r="F282" s="546" t="e">
        <f t="shared" si="34"/>
        <v>#VALUE!</v>
      </c>
      <c r="G282" s="547"/>
    </row>
    <row r="283" spans="1:7" x14ac:dyDescent="0.25">
      <c r="A283" s="548">
        <v>274</v>
      </c>
      <c r="B283" s="549">
        <v>52657</v>
      </c>
      <c r="C283" s="544" t="e">
        <f t="shared" si="31"/>
        <v>#VALUE!</v>
      </c>
      <c r="D283" s="545" t="e">
        <f t="shared" si="32"/>
        <v>#VALUE!</v>
      </c>
      <c r="E283" s="545" t="e">
        <f t="shared" si="33"/>
        <v>#VALUE!</v>
      </c>
      <c r="F283" s="546" t="e">
        <f t="shared" si="34"/>
        <v>#VALUE!</v>
      </c>
      <c r="G283" s="547"/>
    </row>
    <row r="284" spans="1:7" x14ac:dyDescent="0.25">
      <c r="A284" s="548">
        <v>275</v>
      </c>
      <c r="B284" s="549">
        <v>52688</v>
      </c>
      <c r="C284" s="544" t="e">
        <f t="shared" si="31"/>
        <v>#VALUE!</v>
      </c>
      <c r="D284" s="545" t="e">
        <f t="shared" si="32"/>
        <v>#VALUE!</v>
      </c>
      <c r="E284" s="545" t="e">
        <f t="shared" si="33"/>
        <v>#VALUE!</v>
      </c>
      <c r="F284" s="546" t="e">
        <f t="shared" si="34"/>
        <v>#VALUE!</v>
      </c>
      <c r="G284" s="547"/>
    </row>
    <row r="285" spans="1:7" ht="14.4" thickBot="1" x14ac:dyDescent="0.3">
      <c r="A285" s="550">
        <v>276</v>
      </c>
      <c r="B285" s="551">
        <v>52718</v>
      </c>
      <c r="C285" s="552" t="e">
        <f t="shared" si="31"/>
        <v>#VALUE!</v>
      </c>
      <c r="D285" s="553" t="e">
        <f t="shared" si="32"/>
        <v>#VALUE!</v>
      </c>
      <c r="E285" s="553" t="e">
        <f t="shared" si="33"/>
        <v>#VALUE!</v>
      </c>
      <c r="F285" s="554" t="e">
        <f t="shared" si="34"/>
        <v>#VALUE!</v>
      </c>
      <c r="G285" s="547"/>
    </row>
    <row r="286" spans="1:7" x14ac:dyDescent="0.25">
      <c r="A286" s="562">
        <v>277</v>
      </c>
      <c r="B286" s="563">
        <v>52749</v>
      </c>
      <c r="C286" s="564" t="e">
        <f t="shared" si="31"/>
        <v>#VALUE!</v>
      </c>
      <c r="D286" s="565" t="e">
        <f t="shared" si="32"/>
        <v>#VALUE!</v>
      </c>
      <c r="E286" s="565" t="e">
        <f t="shared" si="33"/>
        <v>#VALUE!</v>
      </c>
      <c r="F286" s="566" t="e">
        <f t="shared" si="34"/>
        <v>#VALUE!</v>
      </c>
      <c r="G286" s="547"/>
    </row>
    <row r="287" spans="1:7" x14ac:dyDescent="0.25">
      <c r="A287" s="548">
        <v>278</v>
      </c>
      <c r="B287" s="549">
        <v>52779</v>
      </c>
      <c r="C287" s="544" t="e">
        <f t="shared" si="31"/>
        <v>#VALUE!</v>
      </c>
      <c r="D287" s="545" t="e">
        <f t="shared" si="32"/>
        <v>#VALUE!</v>
      </c>
      <c r="E287" s="545" t="e">
        <f t="shared" si="33"/>
        <v>#VALUE!</v>
      </c>
      <c r="F287" s="546" t="e">
        <f t="shared" si="34"/>
        <v>#VALUE!</v>
      </c>
      <c r="G287" s="547"/>
    </row>
    <row r="288" spans="1:7" x14ac:dyDescent="0.25">
      <c r="A288" s="548">
        <v>279</v>
      </c>
      <c r="B288" s="549">
        <v>52810</v>
      </c>
      <c r="C288" s="544" t="e">
        <f t="shared" si="31"/>
        <v>#VALUE!</v>
      </c>
      <c r="D288" s="545" t="e">
        <f t="shared" si="32"/>
        <v>#VALUE!</v>
      </c>
      <c r="E288" s="545" t="e">
        <f t="shared" si="33"/>
        <v>#VALUE!</v>
      </c>
      <c r="F288" s="546" t="e">
        <f t="shared" si="34"/>
        <v>#VALUE!</v>
      </c>
      <c r="G288" s="547"/>
    </row>
    <row r="289" spans="1:7" x14ac:dyDescent="0.25">
      <c r="A289" s="548">
        <v>280</v>
      </c>
      <c r="B289" s="549">
        <v>52841</v>
      </c>
      <c r="C289" s="544" t="e">
        <f t="shared" si="31"/>
        <v>#VALUE!</v>
      </c>
      <c r="D289" s="545" t="e">
        <f t="shared" si="32"/>
        <v>#VALUE!</v>
      </c>
      <c r="E289" s="545" t="e">
        <f t="shared" si="33"/>
        <v>#VALUE!</v>
      </c>
      <c r="F289" s="546" t="e">
        <f t="shared" si="34"/>
        <v>#VALUE!</v>
      </c>
      <c r="G289" s="547"/>
    </row>
    <row r="290" spans="1:7" x14ac:dyDescent="0.25">
      <c r="A290" s="548">
        <v>281</v>
      </c>
      <c r="B290" s="549">
        <v>52871</v>
      </c>
      <c r="C290" s="544" t="e">
        <f t="shared" si="31"/>
        <v>#VALUE!</v>
      </c>
      <c r="D290" s="545" t="e">
        <f t="shared" si="32"/>
        <v>#VALUE!</v>
      </c>
      <c r="E290" s="545" t="e">
        <f t="shared" si="33"/>
        <v>#VALUE!</v>
      </c>
      <c r="F290" s="546" t="e">
        <f t="shared" si="34"/>
        <v>#VALUE!</v>
      </c>
      <c r="G290" s="547"/>
    </row>
    <row r="291" spans="1:7" x14ac:dyDescent="0.25">
      <c r="A291" s="548">
        <v>282</v>
      </c>
      <c r="B291" s="549">
        <v>52902</v>
      </c>
      <c r="C291" s="544" t="e">
        <f t="shared" si="31"/>
        <v>#VALUE!</v>
      </c>
      <c r="D291" s="545" t="e">
        <f t="shared" si="32"/>
        <v>#VALUE!</v>
      </c>
      <c r="E291" s="545" t="e">
        <f t="shared" si="33"/>
        <v>#VALUE!</v>
      </c>
      <c r="F291" s="546" t="e">
        <f t="shared" si="34"/>
        <v>#VALUE!</v>
      </c>
      <c r="G291" s="547"/>
    </row>
    <row r="292" spans="1:7" x14ac:dyDescent="0.25">
      <c r="A292" s="548">
        <v>283</v>
      </c>
      <c r="B292" s="549">
        <v>52932</v>
      </c>
      <c r="C292" s="544" t="e">
        <f t="shared" si="31"/>
        <v>#VALUE!</v>
      </c>
      <c r="D292" s="545" t="e">
        <f t="shared" si="32"/>
        <v>#VALUE!</v>
      </c>
      <c r="E292" s="545" t="e">
        <f t="shared" si="33"/>
        <v>#VALUE!</v>
      </c>
      <c r="F292" s="546" t="e">
        <f t="shared" si="34"/>
        <v>#VALUE!</v>
      </c>
      <c r="G292" s="547"/>
    </row>
    <row r="293" spans="1:7" x14ac:dyDescent="0.25">
      <c r="A293" s="548">
        <v>284</v>
      </c>
      <c r="B293" s="549">
        <v>52963</v>
      </c>
      <c r="C293" s="544" t="e">
        <f t="shared" si="31"/>
        <v>#VALUE!</v>
      </c>
      <c r="D293" s="545" t="e">
        <f t="shared" si="32"/>
        <v>#VALUE!</v>
      </c>
      <c r="E293" s="545" t="e">
        <f t="shared" si="33"/>
        <v>#VALUE!</v>
      </c>
      <c r="F293" s="546" t="e">
        <f t="shared" si="34"/>
        <v>#VALUE!</v>
      </c>
      <c r="G293" s="547"/>
    </row>
    <row r="294" spans="1:7" x14ac:dyDescent="0.25">
      <c r="A294" s="548">
        <v>285</v>
      </c>
      <c r="B294" s="549">
        <v>52994</v>
      </c>
      <c r="C294" s="544" t="e">
        <f t="shared" si="31"/>
        <v>#VALUE!</v>
      </c>
      <c r="D294" s="545" t="e">
        <f t="shared" si="32"/>
        <v>#VALUE!</v>
      </c>
      <c r="E294" s="545" t="e">
        <f t="shared" si="33"/>
        <v>#VALUE!</v>
      </c>
      <c r="F294" s="546" t="e">
        <f t="shared" si="34"/>
        <v>#VALUE!</v>
      </c>
      <c r="G294" s="547"/>
    </row>
    <row r="295" spans="1:7" x14ac:dyDescent="0.25">
      <c r="A295" s="548">
        <v>286</v>
      </c>
      <c r="B295" s="549">
        <v>53022</v>
      </c>
      <c r="C295" s="544" t="e">
        <f t="shared" si="31"/>
        <v>#VALUE!</v>
      </c>
      <c r="D295" s="545" t="e">
        <f t="shared" si="32"/>
        <v>#VALUE!</v>
      </c>
      <c r="E295" s="545" t="e">
        <f t="shared" si="33"/>
        <v>#VALUE!</v>
      </c>
      <c r="F295" s="546" t="e">
        <f t="shared" si="34"/>
        <v>#VALUE!</v>
      </c>
      <c r="G295" s="547"/>
    </row>
    <row r="296" spans="1:7" x14ac:dyDescent="0.25">
      <c r="A296" s="548">
        <v>287</v>
      </c>
      <c r="B296" s="549">
        <v>53053</v>
      </c>
      <c r="C296" s="544" t="e">
        <f t="shared" si="31"/>
        <v>#VALUE!</v>
      </c>
      <c r="D296" s="545" t="e">
        <f t="shared" si="32"/>
        <v>#VALUE!</v>
      </c>
      <c r="E296" s="545" t="e">
        <f t="shared" si="33"/>
        <v>#VALUE!</v>
      </c>
      <c r="F296" s="546" t="e">
        <f t="shared" si="34"/>
        <v>#VALUE!</v>
      </c>
      <c r="G296" s="547"/>
    </row>
    <row r="297" spans="1:7" ht="14.4" thickBot="1" x14ac:dyDescent="0.3">
      <c r="A297" s="550">
        <v>288</v>
      </c>
      <c r="B297" s="551">
        <v>53083</v>
      </c>
      <c r="C297" s="552" t="e">
        <f t="shared" si="31"/>
        <v>#VALUE!</v>
      </c>
      <c r="D297" s="553" t="e">
        <f t="shared" si="32"/>
        <v>#VALUE!</v>
      </c>
      <c r="E297" s="553" t="e">
        <f t="shared" si="33"/>
        <v>#VALUE!</v>
      </c>
      <c r="F297" s="554" t="e">
        <f t="shared" si="34"/>
        <v>#VALUE!</v>
      </c>
      <c r="G297" s="547"/>
    </row>
    <row r="298" spans="1:7" x14ac:dyDescent="0.25">
      <c r="A298" s="562">
        <v>289</v>
      </c>
      <c r="B298" s="563">
        <v>53114</v>
      </c>
      <c r="C298" s="564" t="e">
        <f t="shared" si="31"/>
        <v>#VALUE!</v>
      </c>
      <c r="D298" s="565" t="e">
        <f t="shared" si="32"/>
        <v>#VALUE!</v>
      </c>
      <c r="E298" s="565" t="e">
        <f t="shared" si="33"/>
        <v>#VALUE!</v>
      </c>
      <c r="F298" s="566" t="e">
        <f t="shared" si="34"/>
        <v>#VALUE!</v>
      </c>
      <c r="G298" s="547"/>
    </row>
    <row r="299" spans="1:7" x14ac:dyDescent="0.25">
      <c r="A299" s="548">
        <v>290</v>
      </c>
      <c r="B299" s="549">
        <v>53144</v>
      </c>
      <c r="C299" s="544" t="e">
        <f t="shared" si="31"/>
        <v>#VALUE!</v>
      </c>
      <c r="D299" s="545" t="e">
        <f t="shared" si="32"/>
        <v>#VALUE!</v>
      </c>
      <c r="E299" s="545" t="e">
        <f t="shared" si="33"/>
        <v>#VALUE!</v>
      </c>
      <c r="F299" s="546" t="e">
        <f t="shared" si="34"/>
        <v>#VALUE!</v>
      </c>
      <c r="G299" s="547"/>
    </row>
    <row r="300" spans="1:7" x14ac:dyDescent="0.25">
      <c r="A300" s="548">
        <v>291</v>
      </c>
      <c r="B300" s="549">
        <v>53175</v>
      </c>
      <c r="C300" s="544" t="e">
        <f t="shared" si="31"/>
        <v>#VALUE!</v>
      </c>
      <c r="D300" s="545" t="e">
        <f t="shared" si="32"/>
        <v>#VALUE!</v>
      </c>
      <c r="E300" s="545" t="e">
        <f t="shared" si="33"/>
        <v>#VALUE!</v>
      </c>
      <c r="F300" s="546" t="e">
        <f t="shared" si="34"/>
        <v>#VALUE!</v>
      </c>
      <c r="G300" s="547"/>
    </row>
    <row r="301" spans="1:7" x14ac:dyDescent="0.25">
      <c r="A301" s="548">
        <v>292</v>
      </c>
      <c r="B301" s="549">
        <v>53206</v>
      </c>
      <c r="C301" s="544" t="e">
        <f t="shared" si="31"/>
        <v>#VALUE!</v>
      </c>
      <c r="D301" s="545" t="e">
        <f t="shared" si="32"/>
        <v>#VALUE!</v>
      </c>
      <c r="E301" s="545" t="e">
        <f t="shared" si="33"/>
        <v>#VALUE!</v>
      </c>
      <c r="F301" s="546" t="e">
        <f t="shared" si="34"/>
        <v>#VALUE!</v>
      </c>
      <c r="G301" s="547"/>
    </row>
    <row r="302" spans="1:7" x14ac:dyDescent="0.25">
      <c r="A302" s="548">
        <v>293</v>
      </c>
      <c r="B302" s="549">
        <v>53236</v>
      </c>
      <c r="C302" s="544" t="e">
        <f t="shared" si="31"/>
        <v>#VALUE!</v>
      </c>
      <c r="D302" s="545" t="e">
        <f t="shared" si="32"/>
        <v>#VALUE!</v>
      </c>
      <c r="E302" s="545" t="e">
        <f t="shared" si="33"/>
        <v>#VALUE!</v>
      </c>
      <c r="F302" s="546" t="e">
        <f t="shared" si="34"/>
        <v>#VALUE!</v>
      </c>
      <c r="G302" s="547"/>
    </row>
    <row r="303" spans="1:7" x14ac:dyDescent="0.25">
      <c r="A303" s="548">
        <v>294</v>
      </c>
      <c r="B303" s="549">
        <v>53267</v>
      </c>
      <c r="C303" s="544" t="e">
        <f t="shared" si="31"/>
        <v>#VALUE!</v>
      </c>
      <c r="D303" s="545" t="e">
        <f t="shared" si="32"/>
        <v>#VALUE!</v>
      </c>
      <c r="E303" s="545" t="e">
        <f t="shared" si="33"/>
        <v>#VALUE!</v>
      </c>
      <c r="F303" s="546" t="e">
        <f t="shared" si="34"/>
        <v>#VALUE!</v>
      </c>
      <c r="G303" s="547"/>
    </row>
    <row r="304" spans="1:7" x14ac:dyDescent="0.25">
      <c r="A304" s="548">
        <v>295</v>
      </c>
      <c r="B304" s="549">
        <v>53297</v>
      </c>
      <c r="C304" s="544" t="e">
        <f t="shared" si="31"/>
        <v>#VALUE!</v>
      </c>
      <c r="D304" s="545" t="e">
        <f t="shared" si="32"/>
        <v>#VALUE!</v>
      </c>
      <c r="E304" s="545" t="e">
        <f t="shared" si="33"/>
        <v>#VALUE!</v>
      </c>
      <c r="F304" s="546" t="e">
        <f t="shared" si="34"/>
        <v>#VALUE!</v>
      </c>
      <c r="G304" s="547"/>
    </row>
    <row r="305" spans="1:7" x14ac:dyDescent="0.25">
      <c r="A305" s="548">
        <v>296</v>
      </c>
      <c r="B305" s="549">
        <v>53328</v>
      </c>
      <c r="C305" s="544" t="e">
        <f t="shared" si="31"/>
        <v>#VALUE!</v>
      </c>
      <c r="D305" s="545" t="e">
        <f t="shared" si="32"/>
        <v>#VALUE!</v>
      </c>
      <c r="E305" s="545" t="e">
        <f t="shared" si="33"/>
        <v>#VALUE!</v>
      </c>
      <c r="F305" s="546" t="e">
        <f t="shared" si="34"/>
        <v>#VALUE!</v>
      </c>
      <c r="G305" s="547"/>
    </row>
    <row r="306" spans="1:7" x14ac:dyDescent="0.25">
      <c r="A306" s="548">
        <v>297</v>
      </c>
      <c r="B306" s="549">
        <v>53359</v>
      </c>
      <c r="C306" s="544" t="e">
        <f t="shared" si="31"/>
        <v>#VALUE!</v>
      </c>
      <c r="D306" s="545" t="e">
        <f t="shared" si="32"/>
        <v>#VALUE!</v>
      </c>
      <c r="E306" s="545" t="e">
        <f t="shared" si="33"/>
        <v>#VALUE!</v>
      </c>
      <c r="F306" s="546" t="e">
        <f t="shared" si="34"/>
        <v>#VALUE!</v>
      </c>
      <c r="G306" s="547"/>
    </row>
    <row r="307" spans="1:7" x14ac:dyDescent="0.25">
      <c r="A307" s="548">
        <v>298</v>
      </c>
      <c r="B307" s="549">
        <v>53387</v>
      </c>
      <c r="C307" s="544" t="e">
        <f t="shared" si="31"/>
        <v>#VALUE!</v>
      </c>
      <c r="D307" s="545" t="e">
        <f t="shared" si="32"/>
        <v>#VALUE!</v>
      </c>
      <c r="E307" s="545" t="e">
        <f t="shared" si="33"/>
        <v>#VALUE!</v>
      </c>
      <c r="F307" s="546" t="e">
        <f t="shared" si="34"/>
        <v>#VALUE!</v>
      </c>
      <c r="G307" s="547"/>
    </row>
    <row r="308" spans="1:7" x14ac:dyDescent="0.25">
      <c r="A308" s="548">
        <v>299</v>
      </c>
      <c r="B308" s="549">
        <v>53418</v>
      </c>
      <c r="C308" s="544" t="e">
        <f t="shared" si="31"/>
        <v>#VALUE!</v>
      </c>
      <c r="D308" s="545" t="e">
        <f t="shared" si="32"/>
        <v>#VALUE!</v>
      </c>
      <c r="E308" s="545" t="e">
        <f t="shared" si="33"/>
        <v>#VALUE!</v>
      </c>
      <c r="F308" s="546" t="e">
        <f t="shared" si="34"/>
        <v>#VALUE!</v>
      </c>
      <c r="G308" s="547"/>
    </row>
    <row r="309" spans="1:7" ht="14.4" thickBot="1" x14ac:dyDescent="0.3">
      <c r="A309" s="550">
        <v>300</v>
      </c>
      <c r="B309" s="551">
        <v>53448</v>
      </c>
      <c r="C309" s="552" t="e">
        <f t="shared" si="31"/>
        <v>#VALUE!</v>
      </c>
      <c r="D309" s="553" t="e">
        <f t="shared" si="32"/>
        <v>#VALUE!</v>
      </c>
      <c r="E309" s="553" t="e">
        <f t="shared" si="33"/>
        <v>#VALUE!</v>
      </c>
      <c r="F309" s="554" t="e">
        <f t="shared" si="34"/>
        <v>#VALUE!</v>
      </c>
      <c r="G309" s="547"/>
    </row>
    <row r="310" spans="1:7" x14ac:dyDescent="0.25">
      <c r="A310" s="562">
        <v>301</v>
      </c>
      <c r="B310" s="563">
        <v>53479</v>
      </c>
      <c r="C310" s="564" t="e">
        <f t="shared" si="31"/>
        <v>#VALUE!</v>
      </c>
      <c r="D310" s="565" t="e">
        <f t="shared" si="32"/>
        <v>#VALUE!</v>
      </c>
      <c r="E310" s="565" t="e">
        <f t="shared" si="33"/>
        <v>#VALUE!</v>
      </c>
      <c r="F310" s="566" t="e">
        <f t="shared" si="34"/>
        <v>#VALUE!</v>
      </c>
      <c r="G310" s="547"/>
    </row>
    <row r="311" spans="1:7" x14ac:dyDescent="0.25">
      <c r="A311" s="548">
        <v>302</v>
      </c>
      <c r="B311" s="549">
        <v>53509</v>
      </c>
      <c r="C311" s="544" t="e">
        <f t="shared" si="31"/>
        <v>#VALUE!</v>
      </c>
      <c r="D311" s="545" t="e">
        <f t="shared" si="32"/>
        <v>#VALUE!</v>
      </c>
      <c r="E311" s="545" t="e">
        <f t="shared" si="33"/>
        <v>#VALUE!</v>
      </c>
      <c r="F311" s="546" t="e">
        <f t="shared" si="34"/>
        <v>#VALUE!</v>
      </c>
      <c r="G311" s="547"/>
    </row>
    <row r="312" spans="1:7" x14ac:dyDescent="0.25">
      <c r="A312" s="548">
        <v>303</v>
      </c>
      <c r="B312" s="549">
        <v>53540</v>
      </c>
      <c r="C312" s="544" t="e">
        <f t="shared" si="31"/>
        <v>#VALUE!</v>
      </c>
      <c r="D312" s="545" t="e">
        <f t="shared" si="32"/>
        <v>#VALUE!</v>
      </c>
      <c r="E312" s="545" t="e">
        <f t="shared" si="33"/>
        <v>#VALUE!</v>
      </c>
      <c r="F312" s="546" t="e">
        <f t="shared" si="34"/>
        <v>#VALUE!</v>
      </c>
      <c r="G312" s="547"/>
    </row>
    <row r="313" spans="1:7" x14ac:dyDescent="0.25">
      <c r="A313" s="548">
        <v>304</v>
      </c>
      <c r="B313" s="549">
        <v>53571</v>
      </c>
      <c r="C313" s="544" t="e">
        <f t="shared" si="31"/>
        <v>#VALUE!</v>
      </c>
      <c r="D313" s="545" t="e">
        <f t="shared" si="32"/>
        <v>#VALUE!</v>
      </c>
      <c r="E313" s="545" t="e">
        <f t="shared" si="33"/>
        <v>#VALUE!</v>
      </c>
      <c r="F313" s="546" t="e">
        <f t="shared" si="34"/>
        <v>#VALUE!</v>
      </c>
      <c r="G313" s="547"/>
    </row>
    <row r="314" spans="1:7" x14ac:dyDescent="0.25">
      <c r="A314" s="548">
        <v>305</v>
      </c>
      <c r="B314" s="549">
        <v>53601</v>
      </c>
      <c r="C314" s="544" t="e">
        <f t="shared" si="31"/>
        <v>#VALUE!</v>
      </c>
      <c r="D314" s="545" t="e">
        <f t="shared" si="32"/>
        <v>#VALUE!</v>
      </c>
      <c r="E314" s="545" t="e">
        <f t="shared" si="33"/>
        <v>#VALUE!</v>
      </c>
      <c r="F314" s="546" t="e">
        <f t="shared" si="34"/>
        <v>#VALUE!</v>
      </c>
      <c r="G314" s="547"/>
    </row>
    <row r="315" spans="1:7" x14ac:dyDescent="0.25">
      <c r="A315" s="548">
        <v>306</v>
      </c>
      <c r="B315" s="549">
        <v>53632</v>
      </c>
      <c r="C315" s="544" t="e">
        <f t="shared" si="31"/>
        <v>#VALUE!</v>
      </c>
      <c r="D315" s="545" t="e">
        <f t="shared" si="32"/>
        <v>#VALUE!</v>
      </c>
      <c r="E315" s="545" t="e">
        <f t="shared" si="33"/>
        <v>#VALUE!</v>
      </c>
      <c r="F315" s="546" t="e">
        <f t="shared" si="34"/>
        <v>#VALUE!</v>
      </c>
      <c r="G315" s="547"/>
    </row>
    <row r="316" spans="1:7" x14ac:dyDescent="0.25">
      <c r="A316" s="548">
        <v>307</v>
      </c>
      <c r="B316" s="549">
        <v>53662</v>
      </c>
      <c r="C316" s="544" t="e">
        <f t="shared" si="31"/>
        <v>#VALUE!</v>
      </c>
      <c r="D316" s="545" t="e">
        <f t="shared" si="32"/>
        <v>#VALUE!</v>
      </c>
      <c r="E316" s="545" t="e">
        <f t="shared" si="33"/>
        <v>#VALUE!</v>
      </c>
      <c r="F316" s="546" t="e">
        <f t="shared" si="34"/>
        <v>#VALUE!</v>
      </c>
      <c r="G316" s="547"/>
    </row>
    <row r="317" spans="1:7" x14ac:dyDescent="0.25">
      <c r="A317" s="548">
        <v>308</v>
      </c>
      <c r="B317" s="549">
        <v>53693</v>
      </c>
      <c r="C317" s="544" t="e">
        <f t="shared" si="31"/>
        <v>#VALUE!</v>
      </c>
      <c r="D317" s="545" t="e">
        <f t="shared" si="32"/>
        <v>#VALUE!</v>
      </c>
      <c r="E317" s="545" t="e">
        <f t="shared" si="33"/>
        <v>#VALUE!</v>
      </c>
      <c r="F317" s="546" t="e">
        <f t="shared" si="34"/>
        <v>#VALUE!</v>
      </c>
      <c r="G317" s="547"/>
    </row>
    <row r="318" spans="1:7" x14ac:dyDescent="0.25">
      <c r="A318" s="548">
        <v>309</v>
      </c>
      <c r="B318" s="549">
        <v>53724</v>
      </c>
      <c r="C318" s="544" t="e">
        <f t="shared" si="31"/>
        <v>#VALUE!</v>
      </c>
      <c r="D318" s="545" t="e">
        <f t="shared" si="32"/>
        <v>#VALUE!</v>
      </c>
      <c r="E318" s="545" t="e">
        <f t="shared" si="33"/>
        <v>#VALUE!</v>
      </c>
      <c r="F318" s="546" t="e">
        <f t="shared" si="34"/>
        <v>#VALUE!</v>
      </c>
      <c r="G318" s="547"/>
    </row>
    <row r="319" spans="1:7" x14ac:dyDescent="0.25">
      <c r="A319" s="548">
        <v>310</v>
      </c>
      <c r="B319" s="549">
        <v>53752</v>
      </c>
      <c r="C319" s="544" t="e">
        <f t="shared" si="31"/>
        <v>#VALUE!</v>
      </c>
      <c r="D319" s="545" t="e">
        <f t="shared" si="32"/>
        <v>#VALUE!</v>
      </c>
      <c r="E319" s="545" t="e">
        <f t="shared" si="33"/>
        <v>#VALUE!</v>
      </c>
      <c r="F319" s="546" t="e">
        <f t="shared" si="34"/>
        <v>#VALUE!</v>
      </c>
      <c r="G319" s="547"/>
    </row>
    <row r="320" spans="1:7" x14ac:dyDescent="0.25">
      <c r="A320" s="548">
        <v>311</v>
      </c>
      <c r="B320" s="549">
        <v>53783</v>
      </c>
      <c r="C320" s="544" t="e">
        <f t="shared" si="31"/>
        <v>#VALUE!</v>
      </c>
      <c r="D320" s="545" t="e">
        <f t="shared" si="32"/>
        <v>#VALUE!</v>
      </c>
      <c r="E320" s="545" t="e">
        <f t="shared" si="33"/>
        <v>#VALUE!</v>
      </c>
      <c r="F320" s="546" t="e">
        <f t="shared" si="34"/>
        <v>#VALUE!</v>
      </c>
      <c r="G320" s="547"/>
    </row>
    <row r="321" spans="1:7" ht="14.4" thickBot="1" x14ac:dyDescent="0.3">
      <c r="A321" s="550">
        <v>312</v>
      </c>
      <c r="B321" s="551">
        <v>53813</v>
      </c>
      <c r="C321" s="552" t="e">
        <f t="shared" si="31"/>
        <v>#VALUE!</v>
      </c>
      <c r="D321" s="553" t="e">
        <f t="shared" si="32"/>
        <v>#VALUE!</v>
      </c>
      <c r="E321" s="553" t="e">
        <f t="shared" si="33"/>
        <v>#VALUE!</v>
      </c>
      <c r="F321" s="554" t="e">
        <f t="shared" si="34"/>
        <v>#VALUE!</v>
      </c>
      <c r="G321" s="547"/>
    </row>
    <row r="322" spans="1:7" x14ac:dyDescent="0.25">
      <c r="A322" s="562">
        <v>313</v>
      </c>
      <c r="B322" s="563">
        <v>53844</v>
      </c>
      <c r="C322" s="564" t="e">
        <f t="shared" si="31"/>
        <v>#VALUE!</v>
      </c>
      <c r="D322" s="565" t="e">
        <f t="shared" si="32"/>
        <v>#VALUE!</v>
      </c>
      <c r="E322" s="565" t="e">
        <f t="shared" si="33"/>
        <v>#VALUE!</v>
      </c>
      <c r="F322" s="566" t="e">
        <f t="shared" si="34"/>
        <v>#VALUE!</v>
      </c>
      <c r="G322" s="547"/>
    </row>
    <row r="323" spans="1:7" x14ac:dyDescent="0.25">
      <c r="A323" s="548">
        <v>314</v>
      </c>
      <c r="B323" s="549">
        <v>53874</v>
      </c>
      <c r="C323" s="544" t="e">
        <f t="shared" si="31"/>
        <v>#VALUE!</v>
      </c>
      <c r="D323" s="545" t="e">
        <f t="shared" si="32"/>
        <v>#VALUE!</v>
      </c>
      <c r="E323" s="545" t="e">
        <f t="shared" si="33"/>
        <v>#VALUE!</v>
      </c>
      <c r="F323" s="546" t="e">
        <f t="shared" si="34"/>
        <v>#VALUE!</v>
      </c>
      <c r="G323" s="547"/>
    </row>
    <row r="324" spans="1:7" x14ac:dyDescent="0.25">
      <c r="A324" s="548">
        <v>315</v>
      </c>
      <c r="B324" s="549">
        <v>53905</v>
      </c>
      <c r="C324" s="544" t="e">
        <f t="shared" si="31"/>
        <v>#VALUE!</v>
      </c>
      <c r="D324" s="545" t="e">
        <f t="shared" si="32"/>
        <v>#VALUE!</v>
      </c>
      <c r="E324" s="545" t="e">
        <f t="shared" si="33"/>
        <v>#VALUE!</v>
      </c>
      <c r="F324" s="546" t="e">
        <f t="shared" si="34"/>
        <v>#VALUE!</v>
      </c>
      <c r="G324" s="547"/>
    </row>
    <row r="325" spans="1:7" x14ac:dyDescent="0.25">
      <c r="A325" s="548">
        <v>316</v>
      </c>
      <c r="B325" s="549">
        <v>53936</v>
      </c>
      <c r="C325" s="544" t="e">
        <f t="shared" si="31"/>
        <v>#VALUE!</v>
      </c>
      <c r="D325" s="545" t="e">
        <f t="shared" si="32"/>
        <v>#VALUE!</v>
      </c>
      <c r="E325" s="545" t="e">
        <f t="shared" si="33"/>
        <v>#VALUE!</v>
      </c>
      <c r="F325" s="546" t="e">
        <f t="shared" si="34"/>
        <v>#VALUE!</v>
      </c>
      <c r="G325" s="547"/>
    </row>
    <row r="326" spans="1:7" x14ac:dyDescent="0.25">
      <c r="A326" s="548">
        <v>317</v>
      </c>
      <c r="B326" s="549">
        <v>53966</v>
      </c>
      <c r="C326" s="544" t="e">
        <f t="shared" si="31"/>
        <v>#VALUE!</v>
      </c>
      <c r="D326" s="545" t="e">
        <f t="shared" si="32"/>
        <v>#VALUE!</v>
      </c>
      <c r="E326" s="545" t="e">
        <f t="shared" si="33"/>
        <v>#VALUE!</v>
      </c>
      <c r="F326" s="546" t="e">
        <f t="shared" si="34"/>
        <v>#VALUE!</v>
      </c>
      <c r="G326" s="547"/>
    </row>
    <row r="327" spans="1:7" x14ac:dyDescent="0.25">
      <c r="A327" s="548">
        <v>318</v>
      </c>
      <c r="B327" s="549">
        <v>53997</v>
      </c>
      <c r="C327" s="544" t="e">
        <f t="shared" si="31"/>
        <v>#VALUE!</v>
      </c>
      <c r="D327" s="545" t="e">
        <f t="shared" si="32"/>
        <v>#VALUE!</v>
      </c>
      <c r="E327" s="545" t="e">
        <f t="shared" si="33"/>
        <v>#VALUE!</v>
      </c>
      <c r="F327" s="546" t="e">
        <f t="shared" si="34"/>
        <v>#VALUE!</v>
      </c>
      <c r="G327" s="547"/>
    </row>
    <row r="328" spans="1:7" x14ac:dyDescent="0.25">
      <c r="A328" s="548">
        <v>319</v>
      </c>
      <c r="B328" s="549">
        <v>54027</v>
      </c>
      <c r="C328" s="544" t="e">
        <f t="shared" si="31"/>
        <v>#VALUE!</v>
      </c>
      <c r="D328" s="545" t="e">
        <f t="shared" si="32"/>
        <v>#VALUE!</v>
      </c>
      <c r="E328" s="545" t="e">
        <f t="shared" si="33"/>
        <v>#VALUE!</v>
      </c>
      <c r="F328" s="546" t="e">
        <f t="shared" si="34"/>
        <v>#VALUE!</v>
      </c>
      <c r="G328" s="547"/>
    </row>
    <row r="329" spans="1:7" x14ac:dyDescent="0.25">
      <c r="A329" s="548">
        <v>320</v>
      </c>
      <c r="B329" s="549">
        <v>54058</v>
      </c>
      <c r="C329" s="544" t="e">
        <f t="shared" si="31"/>
        <v>#VALUE!</v>
      </c>
      <c r="D329" s="545" t="e">
        <f t="shared" si="32"/>
        <v>#VALUE!</v>
      </c>
      <c r="E329" s="545" t="e">
        <f t="shared" si="33"/>
        <v>#VALUE!</v>
      </c>
      <c r="F329" s="546" t="e">
        <f t="shared" si="34"/>
        <v>#VALUE!</v>
      </c>
      <c r="G329" s="547"/>
    </row>
    <row r="330" spans="1:7" x14ac:dyDescent="0.25">
      <c r="A330" s="548">
        <v>321</v>
      </c>
      <c r="B330" s="549">
        <v>54089</v>
      </c>
      <c r="C330" s="544" t="e">
        <f t="shared" si="31"/>
        <v>#VALUE!</v>
      </c>
      <c r="D330" s="545" t="e">
        <f t="shared" si="32"/>
        <v>#VALUE!</v>
      </c>
      <c r="E330" s="545" t="e">
        <f t="shared" si="33"/>
        <v>#VALUE!</v>
      </c>
      <c r="F330" s="546" t="e">
        <f t="shared" si="34"/>
        <v>#VALUE!</v>
      </c>
      <c r="G330" s="547"/>
    </row>
    <row r="331" spans="1:7" x14ac:dyDescent="0.25">
      <c r="A331" s="548">
        <v>322</v>
      </c>
      <c r="B331" s="549">
        <v>54118</v>
      </c>
      <c r="C331" s="544" t="e">
        <f t="shared" ref="C331:C369" si="35">C330-D331</f>
        <v>#VALUE!</v>
      </c>
      <c r="D331" s="545" t="e">
        <f t="shared" ref="D331:D369" si="36">-PPMT($C$4/12,A331,$F$4*$F$6,$C$3)</f>
        <v>#VALUE!</v>
      </c>
      <c r="E331" s="545" t="e">
        <f t="shared" ref="E331:E369" si="37">F331-D331</f>
        <v>#VALUE!</v>
      </c>
      <c r="F331" s="546" t="e">
        <f t="shared" ref="F331:F369" si="38">$F$3</f>
        <v>#VALUE!</v>
      </c>
      <c r="G331" s="547"/>
    </row>
    <row r="332" spans="1:7" x14ac:dyDescent="0.25">
      <c r="A332" s="548">
        <v>323</v>
      </c>
      <c r="B332" s="549">
        <v>54149</v>
      </c>
      <c r="C332" s="544" t="e">
        <f t="shared" si="35"/>
        <v>#VALUE!</v>
      </c>
      <c r="D332" s="545" t="e">
        <f t="shared" si="36"/>
        <v>#VALUE!</v>
      </c>
      <c r="E332" s="545" t="e">
        <f t="shared" si="37"/>
        <v>#VALUE!</v>
      </c>
      <c r="F332" s="546" t="e">
        <f t="shared" si="38"/>
        <v>#VALUE!</v>
      </c>
      <c r="G332" s="547"/>
    </row>
    <row r="333" spans="1:7" ht="14.4" thickBot="1" x14ac:dyDescent="0.3">
      <c r="A333" s="550">
        <v>324</v>
      </c>
      <c r="B333" s="551">
        <v>54179</v>
      </c>
      <c r="C333" s="552" t="e">
        <f t="shared" si="35"/>
        <v>#VALUE!</v>
      </c>
      <c r="D333" s="553" t="e">
        <f t="shared" si="36"/>
        <v>#VALUE!</v>
      </c>
      <c r="E333" s="553" t="e">
        <f t="shared" si="37"/>
        <v>#VALUE!</v>
      </c>
      <c r="F333" s="554" t="e">
        <f t="shared" si="38"/>
        <v>#VALUE!</v>
      </c>
      <c r="G333" s="547"/>
    </row>
    <row r="334" spans="1:7" x14ac:dyDescent="0.25">
      <c r="A334" s="562">
        <v>325</v>
      </c>
      <c r="B334" s="563">
        <v>54210</v>
      </c>
      <c r="C334" s="564" t="e">
        <f t="shared" si="35"/>
        <v>#VALUE!</v>
      </c>
      <c r="D334" s="565" t="e">
        <f t="shared" si="36"/>
        <v>#VALUE!</v>
      </c>
      <c r="E334" s="565" t="e">
        <f t="shared" si="37"/>
        <v>#VALUE!</v>
      </c>
      <c r="F334" s="566" t="e">
        <f t="shared" si="38"/>
        <v>#VALUE!</v>
      </c>
      <c r="G334" s="547"/>
    </row>
    <row r="335" spans="1:7" x14ac:dyDescent="0.25">
      <c r="A335" s="548">
        <v>326</v>
      </c>
      <c r="B335" s="549">
        <v>54240</v>
      </c>
      <c r="C335" s="544" t="e">
        <f t="shared" si="35"/>
        <v>#VALUE!</v>
      </c>
      <c r="D335" s="545" t="e">
        <f t="shared" si="36"/>
        <v>#VALUE!</v>
      </c>
      <c r="E335" s="545" t="e">
        <f t="shared" si="37"/>
        <v>#VALUE!</v>
      </c>
      <c r="F335" s="546" t="e">
        <f t="shared" si="38"/>
        <v>#VALUE!</v>
      </c>
      <c r="G335" s="547"/>
    </row>
    <row r="336" spans="1:7" x14ac:dyDescent="0.25">
      <c r="A336" s="548">
        <v>327</v>
      </c>
      <c r="B336" s="549">
        <v>54271</v>
      </c>
      <c r="C336" s="544" t="e">
        <f t="shared" si="35"/>
        <v>#VALUE!</v>
      </c>
      <c r="D336" s="545" t="e">
        <f t="shared" si="36"/>
        <v>#VALUE!</v>
      </c>
      <c r="E336" s="545" t="e">
        <f t="shared" si="37"/>
        <v>#VALUE!</v>
      </c>
      <c r="F336" s="546" t="e">
        <f t="shared" si="38"/>
        <v>#VALUE!</v>
      </c>
      <c r="G336" s="547"/>
    </row>
    <row r="337" spans="1:7" x14ac:dyDescent="0.25">
      <c r="A337" s="548">
        <v>328</v>
      </c>
      <c r="B337" s="549">
        <v>54302</v>
      </c>
      <c r="C337" s="544" t="e">
        <f t="shared" si="35"/>
        <v>#VALUE!</v>
      </c>
      <c r="D337" s="545" t="e">
        <f t="shared" si="36"/>
        <v>#VALUE!</v>
      </c>
      <c r="E337" s="545" t="e">
        <f t="shared" si="37"/>
        <v>#VALUE!</v>
      </c>
      <c r="F337" s="546" t="e">
        <f t="shared" si="38"/>
        <v>#VALUE!</v>
      </c>
      <c r="G337" s="547"/>
    </row>
    <row r="338" spans="1:7" x14ac:dyDescent="0.25">
      <c r="A338" s="548">
        <v>329</v>
      </c>
      <c r="B338" s="549">
        <v>54332</v>
      </c>
      <c r="C338" s="544" t="e">
        <f t="shared" si="35"/>
        <v>#VALUE!</v>
      </c>
      <c r="D338" s="545" t="e">
        <f t="shared" si="36"/>
        <v>#VALUE!</v>
      </c>
      <c r="E338" s="545" t="e">
        <f t="shared" si="37"/>
        <v>#VALUE!</v>
      </c>
      <c r="F338" s="546" t="e">
        <f t="shared" si="38"/>
        <v>#VALUE!</v>
      </c>
      <c r="G338" s="547"/>
    </row>
    <row r="339" spans="1:7" x14ac:dyDescent="0.25">
      <c r="A339" s="548">
        <v>330</v>
      </c>
      <c r="B339" s="549">
        <v>54363</v>
      </c>
      <c r="C339" s="544" t="e">
        <f t="shared" si="35"/>
        <v>#VALUE!</v>
      </c>
      <c r="D339" s="545" t="e">
        <f t="shared" si="36"/>
        <v>#VALUE!</v>
      </c>
      <c r="E339" s="545" t="e">
        <f t="shared" si="37"/>
        <v>#VALUE!</v>
      </c>
      <c r="F339" s="546" t="e">
        <f t="shared" si="38"/>
        <v>#VALUE!</v>
      </c>
      <c r="G339" s="547"/>
    </row>
    <row r="340" spans="1:7" x14ac:dyDescent="0.25">
      <c r="A340" s="548">
        <v>331</v>
      </c>
      <c r="B340" s="549">
        <v>54393</v>
      </c>
      <c r="C340" s="544" t="e">
        <f t="shared" si="35"/>
        <v>#VALUE!</v>
      </c>
      <c r="D340" s="545" t="e">
        <f t="shared" si="36"/>
        <v>#VALUE!</v>
      </c>
      <c r="E340" s="545" t="e">
        <f t="shared" si="37"/>
        <v>#VALUE!</v>
      </c>
      <c r="F340" s="546" t="e">
        <f t="shared" si="38"/>
        <v>#VALUE!</v>
      </c>
      <c r="G340" s="547"/>
    </row>
    <row r="341" spans="1:7" x14ac:dyDescent="0.25">
      <c r="A341" s="548">
        <v>332</v>
      </c>
      <c r="B341" s="549">
        <v>54424</v>
      </c>
      <c r="C341" s="544" t="e">
        <f t="shared" si="35"/>
        <v>#VALUE!</v>
      </c>
      <c r="D341" s="545" t="e">
        <f t="shared" si="36"/>
        <v>#VALUE!</v>
      </c>
      <c r="E341" s="545" t="e">
        <f t="shared" si="37"/>
        <v>#VALUE!</v>
      </c>
      <c r="F341" s="546" t="e">
        <f t="shared" si="38"/>
        <v>#VALUE!</v>
      </c>
      <c r="G341" s="547"/>
    </row>
    <row r="342" spans="1:7" x14ac:dyDescent="0.25">
      <c r="A342" s="548">
        <v>333</v>
      </c>
      <c r="B342" s="549">
        <v>54455</v>
      </c>
      <c r="C342" s="544" t="e">
        <f t="shared" si="35"/>
        <v>#VALUE!</v>
      </c>
      <c r="D342" s="545" t="e">
        <f t="shared" si="36"/>
        <v>#VALUE!</v>
      </c>
      <c r="E342" s="545" t="e">
        <f t="shared" si="37"/>
        <v>#VALUE!</v>
      </c>
      <c r="F342" s="546" t="e">
        <f t="shared" si="38"/>
        <v>#VALUE!</v>
      </c>
      <c r="G342" s="547"/>
    </row>
    <row r="343" spans="1:7" x14ac:dyDescent="0.25">
      <c r="A343" s="548">
        <v>334</v>
      </c>
      <c r="B343" s="549">
        <v>54483</v>
      </c>
      <c r="C343" s="544" t="e">
        <f t="shared" si="35"/>
        <v>#VALUE!</v>
      </c>
      <c r="D343" s="545" t="e">
        <f t="shared" si="36"/>
        <v>#VALUE!</v>
      </c>
      <c r="E343" s="545" t="e">
        <f t="shared" si="37"/>
        <v>#VALUE!</v>
      </c>
      <c r="F343" s="546" t="e">
        <f t="shared" si="38"/>
        <v>#VALUE!</v>
      </c>
      <c r="G343" s="547"/>
    </row>
    <row r="344" spans="1:7" x14ac:dyDescent="0.25">
      <c r="A344" s="548">
        <v>335</v>
      </c>
      <c r="B344" s="549">
        <v>54514</v>
      </c>
      <c r="C344" s="544" t="e">
        <f t="shared" si="35"/>
        <v>#VALUE!</v>
      </c>
      <c r="D344" s="545" t="e">
        <f t="shared" si="36"/>
        <v>#VALUE!</v>
      </c>
      <c r="E344" s="545" t="e">
        <f t="shared" si="37"/>
        <v>#VALUE!</v>
      </c>
      <c r="F344" s="546" t="e">
        <f t="shared" si="38"/>
        <v>#VALUE!</v>
      </c>
      <c r="G344" s="547"/>
    </row>
    <row r="345" spans="1:7" ht="14.4" thickBot="1" x14ac:dyDescent="0.3">
      <c r="A345" s="550">
        <v>336</v>
      </c>
      <c r="B345" s="551">
        <v>54544</v>
      </c>
      <c r="C345" s="552" t="e">
        <f t="shared" si="35"/>
        <v>#VALUE!</v>
      </c>
      <c r="D345" s="553" t="e">
        <f t="shared" si="36"/>
        <v>#VALUE!</v>
      </c>
      <c r="E345" s="553" t="e">
        <f t="shared" si="37"/>
        <v>#VALUE!</v>
      </c>
      <c r="F345" s="554" t="e">
        <f t="shared" si="38"/>
        <v>#VALUE!</v>
      </c>
      <c r="G345" s="547"/>
    </row>
    <row r="346" spans="1:7" x14ac:dyDescent="0.25">
      <c r="A346" s="562">
        <v>337</v>
      </c>
      <c r="B346" s="563">
        <v>54575</v>
      </c>
      <c r="C346" s="564" t="e">
        <f t="shared" si="35"/>
        <v>#VALUE!</v>
      </c>
      <c r="D346" s="565" t="e">
        <f t="shared" si="36"/>
        <v>#VALUE!</v>
      </c>
      <c r="E346" s="565" t="e">
        <f t="shared" si="37"/>
        <v>#VALUE!</v>
      </c>
      <c r="F346" s="566" t="e">
        <f t="shared" si="38"/>
        <v>#VALUE!</v>
      </c>
      <c r="G346" s="547"/>
    </row>
    <row r="347" spans="1:7" x14ac:dyDescent="0.25">
      <c r="A347" s="548">
        <v>338</v>
      </c>
      <c r="B347" s="549">
        <v>54605</v>
      </c>
      <c r="C347" s="544" t="e">
        <f t="shared" si="35"/>
        <v>#VALUE!</v>
      </c>
      <c r="D347" s="545" t="e">
        <f t="shared" si="36"/>
        <v>#VALUE!</v>
      </c>
      <c r="E347" s="545" t="e">
        <f t="shared" si="37"/>
        <v>#VALUE!</v>
      </c>
      <c r="F347" s="546" t="e">
        <f t="shared" si="38"/>
        <v>#VALUE!</v>
      </c>
      <c r="G347" s="547"/>
    </row>
    <row r="348" spans="1:7" x14ac:dyDescent="0.25">
      <c r="A348" s="548">
        <v>339</v>
      </c>
      <c r="B348" s="549">
        <v>54636</v>
      </c>
      <c r="C348" s="544" t="e">
        <f t="shared" si="35"/>
        <v>#VALUE!</v>
      </c>
      <c r="D348" s="545" t="e">
        <f t="shared" si="36"/>
        <v>#VALUE!</v>
      </c>
      <c r="E348" s="545" t="e">
        <f t="shared" si="37"/>
        <v>#VALUE!</v>
      </c>
      <c r="F348" s="546" t="e">
        <f t="shared" si="38"/>
        <v>#VALUE!</v>
      </c>
      <c r="G348" s="547"/>
    </row>
    <row r="349" spans="1:7" x14ac:dyDescent="0.25">
      <c r="A349" s="548">
        <v>340</v>
      </c>
      <c r="B349" s="549">
        <v>54667</v>
      </c>
      <c r="C349" s="544" t="e">
        <f t="shared" si="35"/>
        <v>#VALUE!</v>
      </c>
      <c r="D349" s="545" t="e">
        <f t="shared" si="36"/>
        <v>#VALUE!</v>
      </c>
      <c r="E349" s="545" t="e">
        <f t="shared" si="37"/>
        <v>#VALUE!</v>
      </c>
      <c r="F349" s="546" t="e">
        <f t="shared" si="38"/>
        <v>#VALUE!</v>
      </c>
      <c r="G349" s="547"/>
    </row>
    <row r="350" spans="1:7" x14ac:dyDescent="0.25">
      <c r="A350" s="548">
        <v>341</v>
      </c>
      <c r="B350" s="549">
        <v>54697</v>
      </c>
      <c r="C350" s="544" t="e">
        <f t="shared" si="35"/>
        <v>#VALUE!</v>
      </c>
      <c r="D350" s="545" t="e">
        <f t="shared" si="36"/>
        <v>#VALUE!</v>
      </c>
      <c r="E350" s="545" t="e">
        <f t="shared" si="37"/>
        <v>#VALUE!</v>
      </c>
      <c r="F350" s="546" t="e">
        <f t="shared" si="38"/>
        <v>#VALUE!</v>
      </c>
      <c r="G350" s="547"/>
    </row>
    <row r="351" spans="1:7" x14ac:dyDescent="0.25">
      <c r="A351" s="548">
        <v>342</v>
      </c>
      <c r="B351" s="549">
        <v>54728</v>
      </c>
      <c r="C351" s="544" t="e">
        <f t="shared" si="35"/>
        <v>#VALUE!</v>
      </c>
      <c r="D351" s="545" t="e">
        <f t="shared" si="36"/>
        <v>#VALUE!</v>
      </c>
      <c r="E351" s="545" t="e">
        <f t="shared" si="37"/>
        <v>#VALUE!</v>
      </c>
      <c r="F351" s="546" t="e">
        <f t="shared" si="38"/>
        <v>#VALUE!</v>
      </c>
      <c r="G351" s="547"/>
    </row>
    <row r="352" spans="1:7" x14ac:dyDescent="0.25">
      <c r="A352" s="548">
        <v>343</v>
      </c>
      <c r="B352" s="549">
        <v>54758</v>
      </c>
      <c r="C352" s="544" t="e">
        <f t="shared" si="35"/>
        <v>#VALUE!</v>
      </c>
      <c r="D352" s="545" t="e">
        <f t="shared" si="36"/>
        <v>#VALUE!</v>
      </c>
      <c r="E352" s="545" t="e">
        <f t="shared" si="37"/>
        <v>#VALUE!</v>
      </c>
      <c r="F352" s="546" t="e">
        <f t="shared" si="38"/>
        <v>#VALUE!</v>
      </c>
      <c r="G352" s="547"/>
    </row>
    <row r="353" spans="1:7" x14ac:dyDescent="0.25">
      <c r="A353" s="548">
        <v>344</v>
      </c>
      <c r="B353" s="549">
        <v>54789</v>
      </c>
      <c r="C353" s="544" t="e">
        <f t="shared" si="35"/>
        <v>#VALUE!</v>
      </c>
      <c r="D353" s="545" t="e">
        <f t="shared" si="36"/>
        <v>#VALUE!</v>
      </c>
      <c r="E353" s="545" t="e">
        <f t="shared" si="37"/>
        <v>#VALUE!</v>
      </c>
      <c r="F353" s="546" t="e">
        <f t="shared" si="38"/>
        <v>#VALUE!</v>
      </c>
      <c r="G353" s="547"/>
    </row>
    <row r="354" spans="1:7" x14ac:dyDescent="0.25">
      <c r="A354" s="548">
        <v>345</v>
      </c>
      <c r="B354" s="549">
        <v>54820</v>
      </c>
      <c r="C354" s="544" t="e">
        <f t="shared" si="35"/>
        <v>#VALUE!</v>
      </c>
      <c r="D354" s="545" t="e">
        <f t="shared" si="36"/>
        <v>#VALUE!</v>
      </c>
      <c r="E354" s="545" t="e">
        <f t="shared" si="37"/>
        <v>#VALUE!</v>
      </c>
      <c r="F354" s="546" t="e">
        <f t="shared" si="38"/>
        <v>#VALUE!</v>
      </c>
      <c r="G354" s="547"/>
    </row>
    <row r="355" spans="1:7" x14ac:dyDescent="0.25">
      <c r="A355" s="548">
        <v>346</v>
      </c>
      <c r="B355" s="549">
        <v>54848</v>
      </c>
      <c r="C355" s="544" t="e">
        <f t="shared" si="35"/>
        <v>#VALUE!</v>
      </c>
      <c r="D355" s="545" t="e">
        <f t="shared" si="36"/>
        <v>#VALUE!</v>
      </c>
      <c r="E355" s="545" t="e">
        <f t="shared" si="37"/>
        <v>#VALUE!</v>
      </c>
      <c r="F355" s="546" t="e">
        <f t="shared" si="38"/>
        <v>#VALUE!</v>
      </c>
      <c r="G355" s="547"/>
    </row>
    <row r="356" spans="1:7" x14ac:dyDescent="0.25">
      <c r="A356" s="548">
        <v>347</v>
      </c>
      <c r="B356" s="549">
        <v>54879</v>
      </c>
      <c r="C356" s="544" t="e">
        <f t="shared" si="35"/>
        <v>#VALUE!</v>
      </c>
      <c r="D356" s="545" t="e">
        <f t="shared" si="36"/>
        <v>#VALUE!</v>
      </c>
      <c r="E356" s="545" t="e">
        <f t="shared" si="37"/>
        <v>#VALUE!</v>
      </c>
      <c r="F356" s="546" t="e">
        <f t="shared" si="38"/>
        <v>#VALUE!</v>
      </c>
      <c r="G356" s="547"/>
    </row>
    <row r="357" spans="1:7" ht="14.4" thickBot="1" x14ac:dyDescent="0.3">
      <c r="A357" s="550">
        <v>348</v>
      </c>
      <c r="B357" s="551">
        <v>54909</v>
      </c>
      <c r="C357" s="552" t="e">
        <f t="shared" si="35"/>
        <v>#VALUE!</v>
      </c>
      <c r="D357" s="553" t="e">
        <f t="shared" si="36"/>
        <v>#VALUE!</v>
      </c>
      <c r="E357" s="553" t="e">
        <f t="shared" si="37"/>
        <v>#VALUE!</v>
      </c>
      <c r="F357" s="554" t="e">
        <f t="shared" si="38"/>
        <v>#VALUE!</v>
      </c>
      <c r="G357" s="547"/>
    </row>
    <row r="358" spans="1:7" x14ac:dyDescent="0.25">
      <c r="A358" s="562">
        <v>349</v>
      </c>
      <c r="B358" s="563">
        <v>54940</v>
      </c>
      <c r="C358" s="564" t="e">
        <f t="shared" si="35"/>
        <v>#VALUE!</v>
      </c>
      <c r="D358" s="565" t="e">
        <f t="shared" si="36"/>
        <v>#VALUE!</v>
      </c>
      <c r="E358" s="565" t="e">
        <f t="shared" si="37"/>
        <v>#VALUE!</v>
      </c>
      <c r="F358" s="566" t="e">
        <f t="shared" si="38"/>
        <v>#VALUE!</v>
      </c>
      <c r="G358" s="547"/>
    </row>
    <row r="359" spans="1:7" x14ac:dyDescent="0.25">
      <c r="A359" s="548">
        <v>350</v>
      </c>
      <c r="B359" s="549">
        <v>54970</v>
      </c>
      <c r="C359" s="544" t="e">
        <f t="shared" si="35"/>
        <v>#VALUE!</v>
      </c>
      <c r="D359" s="545" t="e">
        <f t="shared" si="36"/>
        <v>#VALUE!</v>
      </c>
      <c r="E359" s="545" t="e">
        <f t="shared" si="37"/>
        <v>#VALUE!</v>
      </c>
      <c r="F359" s="546" t="e">
        <f t="shared" si="38"/>
        <v>#VALUE!</v>
      </c>
      <c r="G359" s="547"/>
    </row>
    <row r="360" spans="1:7" x14ac:dyDescent="0.25">
      <c r="A360" s="548">
        <v>351</v>
      </c>
      <c r="B360" s="549">
        <v>55001</v>
      </c>
      <c r="C360" s="544" t="e">
        <f t="shared" si="35"/>
        <v>#VALUE!</v>
      </c>
      <c r="D360" s="545" t="e">
        <f t="shared" si="36"/>
        <v>#VALUE!</v>
      </c>
      <c r="E360" s="545" t="e">
        <f t="shared" si="37"/>
        <v>#VALUE!</v>
      </c>
      <c r="F360" s="546" t="e">
        <f t="shared" si="38"/>
        <v>#VALUE!</v>
      </c>
      <c r="G360" s="547"/>
    </row>
    <row r="361" spans="1:7" x14ac:dyDescent="0.25">
      <c r="A361" s="548">
        <v>352</v>
      </c>
      <c r="B361" s="549">
        <v>55032</v>
      </c>
      <c r="C361" s="544" t="e">
        <f t="shared" si="35"/>
        <v>#VALUE!</v>
      </c>
      <c r="D361" s="545" t="e">
        <f t="shared" si="36"/>
        <v>#VALUE!</v>
      </c>
      <c r="E361" s="545" t="e">
        <f t="shared" si="37"/>
        <v>#VALUE!</v>
      </c>
      <c r="F361" s="546" t="e">
        <f t="shared" si="38"/>
        <v>#VALUE!</v>
      </c>
      <c r="G361" s="547"/>
    </row>
    <row r="362" spans="1:7" x14ac:dyDescent="0.25">
      <c r="A362" s="548">
        <v>353</v>
      </c>
      <c r="B362" s="549">
        <v>55062</v>
      </c>
      <c r="C362" s="544" t="e">
        <f t="shared" si="35"/>
        <v>#VALUE!</v>
      </c>
      <c r="D362" s="545" t="e">
        <f t="shared" si="36"/>
        <v>#VALUE!</v>
      </c>
      <c r="E362" s="545" t="e">
        <f t="shared" si="37"/>
        <v>#VALUE!</v>
      </c>
      <c r="F362" s="546" t="e">
        <f t="shared" si="38"/>
        <v>#VALUE!</v>
      </c>
      <c r="G362" s="547"/>
    </row>
    <row r="363" spans="1:7" x14ac:dyDescent="0.25">
      <c r="A363" s="548">
        <v>354</v>
      </c>
      <c r="B363" s="549">
        <v>55093</v>
      </c>
      <c r="C363" s="544" t="e">
        <f t="shared" si="35"/>
        <v>#VALUE!</v>
      </c>
      <c r="D363" s="545" t="e">
        <f t="shared" si="36"/>
        <v>#VALUE!</v>
      </c>
      <c r="E363" s="545" t="e">
        <f t="shared" si="37"/>
        <v>#VALUE!</v>
      </c>
      <c r="F363" s="546" t="e">
        <f t="shared" si="38"/>
        <v>#VALUE!</v>
      </c>
      <c r="G363" s="547"/>
    </row>
    <row r="364" spans="1:7" x14ac:dyDescent="0.25">
      <c r="A364" s="548">
        <v>355</v>
      </c>
      <c r="B364" s="549">
        <v>55123</v>
      </c>
      <c r="C364" s="544" t="e">
        <f t="shared" si="35"/>
        <v>#VALUE!</v>
      </c>
      <c r="D364" s="545" t="e">
        <f t="shared" si="36"/>
        <v>#VALUE!</v>
      </c>
      <c r="E364" s="545" t="e">
        <f t="shared" si="37"/>
        <v>#VALUE!</v>
      </c>
      <c r="F364" s="546" t="e">
        <f t="shared" si="38"/>
        <v>#VALUE!</v>
      </c>
      <c r="G364" s="547"/>
    </row>
    <row r="365" spans="1:7" x14ac:dyDescent="0.25">
      <c r="A365" s="548">
        <v>356</v>
      </c>
      <c r="B365" s="549">
        <v>55154</v>
      </c>
      <c r="C365" s="544" t="e">
        <f t="shared" si="35"/>
        <v>#VALUE!</v>
      </c>
      <c r="D365" s="545" t="e">
        <f t="shared" si="36"/>
        <v>#VALUE!</v>
      </c>
      <c r="E365" s="545" t="e">
        <f t="shared" si="37"/>
        <v>#VALUE!</v>
      </c>
      <c r="F365" s="546" t="e">
        <f t="shared" si="38"/>
        <v>#VALUE!</v>
      </c>
      <c r="G365" s="547"/>
    </row>
    <row r="366" spans="1:7" x14ac:dyDescent="0.25">
      <c r="A366" s="548">
        <v>357</v>
      </c>
      <c r="B366" s="549">
        <v>55185</v>
      </c>
      <c r="C366" s="544" t="e">
        <f t="shared" si="35"/>
        <v>#VALUE!</v>
      </c>
      <c r="D366" s="545" t="e">
        <f t="shared" si="36"/>
        <v>#VALUE!</v>
      </c>
      <c r="E366" s="545" t="e">
        <f t="shared" si="37"/>
        <v>#VALUE!</v>
      </c>
      <c r="F366" s="546" t="e">
        <f t="shared" si="38"/>
        <v>#VALUE!</v>
      </c>
      <c r="G366" s="547"/>
    </row>
    <row r="367" spans="1:7" x14ac:dyDescent="0.25">
      <c r="A367" s="548">
        <v>358</v>
      </c>
      <c r="B367" s="549">
        <v>55213</v>
      </c>
      <c r="C367" s="544" t="e">
        <f t="shared" si="35"/>
        <v>#VALUE!</v>
      </c>
      <c r="D367" s="545" t="e">
        <f t="shared" si="36"/>
        <v>#VALUE!</v>
      </c>
      <c r="E367" s="545" t="e">
        <f t="shared" si="37"/>
        <v>#VALUE!</v>
      </c>
      <c r="F367" s="546" t="e">
        <f t="shared" si="38"/>
        <v>#VALUE!</v>
      </c>
      <c r="G367" s="547"/>
    </row>
    <row r="368" spans="1:7" x14ac:dyDescent="0.25">
      <c r="A368" s="548">
        <v>359</v>
      </c>
      <c r="B368" s="549">
        <v>55244</v>
      </c>
      <c r="C368" s="544" t="e">
        <f t="shared" si="35"/>
        <v>#VALUE!</v>
      </c>
      <c r="D368" s="545" t="e">
        <f t="shared" si="36"/>
        <v>#VALUE!</v>
      </c>
      <c r="E368" s="545" t="e">
        <f t="shared" si="37"/>
        <v>#VALUE!</v>
      </c>
      <c r="F368" s="546" t="e">
        <f t="shared" si="38"/>
        <v>#VALUE!</v>
      </c>
      <c r="G368" s="547"/>
    </row>
    <row r="369" spans="1:7" ht="14.4" thickBot="1" x14ac:dyDescent="0.3">
      <c r="A369" s="550">
        <v>360</v>
      </c>
      <c r="B369" s="551">
        <v>55274</v>
      </c>
      <c r="C369" s="552" t="e">
        <f t="shared" si="35"/>
        <v>#VALUE!</v>
      </c>
      <c r="D369" s="553" t="e">
        <f t="shared" si="36"/>
        <v>#VALUE!</v>
      </c>
      <c r="E369" s="553" t="e">
        <f t="shared" si="37"/>
        <v>#VALUE!</v>
      </c>
      <c r="F369" s="554" t="e">
        <f t="shared" si="38"/>
        <v>#VALUE!</v>
      </c>
      <c r="G369" s="555"/>
    </row>
  </sheetData>
  <sheetProtection algorithmName="SHA-512" hashValue="PyACauHcixRps955pOk1iZVgrtuA/rYad6GNFVLzvxRns8NPR4Cg/9cqZnNjstSOchggXmrrSaYeq/0iwWHNiw==" saltValue="MdhNsi7f75GfO8Sqo67Uiw==" spinCount="100000" sheet="1" objects="1" scenarios="1"/>
  <mergeCells count="22">
    <mergeCell ref="A1:F2"/>
    <mergeCell ref="G1:G7"/>
    <mergeCell ref="I1:N2"/>
    <mergeCell ref="O1:O7"/>
    <mergeCell ref="D7:E7"/>
    <mergeCell ref="A7:B7"/>
    <mergeCell ref="I7:J7"/>
    <mergeCell ref="L7:M7"/>
    <mergeCell ref="I3:J3"/>
    <mergeCell ref="L3:M3"/>
    <mergeCell ref="A6:B6"/>
    <mergeCell ref="A3:B3"/>
    <mergeCell ref="A4:B4"/>
    <mergeCell ref="I4:J4"/>
    <mergeCell ref="L4:M4"/>
    <mergeCell ref="D4:E4"/>
    <mergeCell ref="D3:E3"/>
    <mergeCell ref="D5:E5"/>
    <mergeCell ref="D6:E6"/>
    <mergeCell ref="L5:M5"/>
    <mergeCell ref="I6:J6"/>
    <mergeCell ref="L6:M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5</vt:i4>
      </vt:variant>
    </vt:vector>
  </HeadingPairs>
  <TitlesOfParts>
    <vt:vector size="24" baseType="lpstr">
      <vt:lpstr>Instructions</vt:lpstr>
      <vt:lpstr>Submission Requirements</vt:lpstr>
      <vt:lpstr>Transmittal</vt:lpstr>
      <vt:lpstr>Project Details</vt:lpstr>
      <vt:lpstr>Budget &amp; Costs</vt:lpstr>
      <vt:lpstr>LIHTCs</vt:lpstr>
      <vt:lpstr>Cashflow</vt:lpstr>
      <vt:lpstr>Development Team</vt:lpstr>
      <vt:lpstr>Experience&amp;Capacity</vt:lpstr>
      <vt:lpstr>Developer Fee</vt:lpstr>
      <vt:lpstr>Narratives</vt:lpstr>
      <vt:lpstr>Proposal Summary</vt:lpstr>
      <vt:lpstr>HDL+Wage Rates+MLP</vt:lpstr>
      <vt:lpstr>Multifamily Bonds</vt:lpstr>
      <vt:lpstr>Management Capacity </vt:lpstr>
      <vt:lpstr>Program Certification</vt:lpstr>
      <vt:lpstr>Data</vt:lpstr>
      <vt:lpstr>OHFADataExtract</vt:lpstr>
      <vt:lpstr>MLP Amortization</vt:lpstr>
      <vt:lpstr>Instructions!Print_Area</vt:lpstr>
      <vt:lpstr>LIHTCs!Print_Area</vt:lpstr>
      <vt:lpstr>'Management Capacity '!Print_Area</vt:lpstr>
      <vt:lpstr>'Multifamily Bonds'!Print_Area</vt:lpstr>
      <vt:lpstr>'Program Certification'!Print_Area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OHFA</dc:creator>
  <cp:lastModifiedBy>Koch, Taylor</cp:lastModifiedBy>
  <cp:lastPrinted>2023-03-13T15:12:58Z</cp:lastPrinted>
  <dcterms:created xsi:type="dcterms:W3CDTF">2017-06-08T17:52:33Z</dcterms:created>
  <dcterms:modified xsi:type="dcterms:W3CDTF">2023-06-20T17:36:59Z</dcterms:modified>
</cp:coreProperties>
</file>